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11.21\"/>
    </mc:Choice>
  </mc:AlternateContent>
  <bookViews>
    <workbookView xWindow="0" yWindow="0" windowWidth="28800" windowHeight="12015"/>
  </bookViews>
  <sheets>
    <sheet name="2021" sheetId="22" r:id="rId1"/>
  </sheets>
  <definedNames>
    <definedName name="Print_Area" localSheetId="0">'2021'!$A$1:$AA$124</definedName>
    <definedName name="Print_Titles" localSheetId="0">'2021'!$3:$5</definedName>
    <definedName name="_xlnm.Print_Titles" localSheetId="0">'2021'!$3:$5</definedName>
    <definedName name="_xlnm.Print_Area" localSheetId="0">'2021'!$A$1:$AA$148</definedName>
  </definedNames>
  <calcPr calcId="152511"/>
</workbook>
</file>

<file path=xl/calcChain.xml><?xml version="1.0" encoding="utf-8"?>
<calcChain xmlns="http://schemas.openxmlformats.org/spreadsheetml/2006/main">
  <c r="P106" i="22" l="1"/>
  <c r="P71" i="22"/>
  <c r="P69" i="22"/>
  <c r="P68" i="22"/>
  <c r="R67" i="22" l="1"/>
  <c r="F74" i="22"/>
  <c r="S74" i="22" s="1"/>
  <c r="U74" i="22"/>
  <c r="W74" i="22" l="1"/>
  <c r="V74" i="22"/>
  <c r="T74" i="22"/>
  <c r="Q74" i="22"/>
  <c r="Z74" i="22"/>
  <c r="E71" i="22"/>
  <c r="E67" i="22" s="1"/>
  <c r="O104" i="22" l="1"/>
  <c r="O109" i="22"/>
  <c r="O110" i="22"/>
  <c r="O93" i="22"/>
  <c r="O86" i="22"/>
  <c r="O100" i="22" s="1"/>
  <c r="O81" i="22"/>
  <c r="O79" i="22"/>
  <c r="O72" i="22"/>
  <c r="O67" i="22"/>
  <c r="O82" i="22" s="1"/>
  <c r="O33" i="22"/>
  <c r="O18" i="22"/>
  <c r="O14" i="22"/>
  <c r="O9" i="22"/>
  <c r="U99" i="22"/>
  <c r="U97" i="22"/>
  <c r="U96" i="22"/>
  <c r="U95" i="22"/>
  <c r="U94" i="22"/>
  <c r="U92" i="22"/>
  <c r="U91" i="22"/>
  <c r="U90" i="22"/>
  <c r="U89" i="22"/>
  <c r="U87" i="22"/>
  <c r="F66" i="22"/>
  <c r="U66" i="22"/>
  <c r="U46" i="22"/>
  <c r="U45" i="22"/>
  <c r="U44" i="22"/>
  <c r="U43" i="22"/>
  <c r="U42" i="22"/>
  <c r="U40" i="22"/>
  <c r="U39" i="22"/>
  <c r="U38" i="22"/>
  <c r="U37" i="22"/>
  <c r="U36" i="22"/>
  <c r="U35" i="22"/>
  <c r="U34" i="22"/>
  <c r="U32" i="22"/>
  <c r="U31" i="22"/>
  <c r="U30" i="22"/>
  <c r="U29" i="22"/>
  <c r="U28" i="22"/>
  <c r="U26" i="22"/>
  <c r="U24" i="22"/>
  <c r="U23" i="22"/>
  <c r="U19" i="22"/>
  <c r="U17" i="22"/>
  <c r="U16" i="22"/>
  <c r="U15" i="22"/>
  <c r="U12" i="22"/>
  <c r="U11" i="22"/>
  <c r="U8" i="22"/>
  <c r="U7" i="22"/>
  <c r="Y81" i="22"/>
  <c r="O80" i="22" l="1"/>
  <c r="O77" i="22" s="1"/>
  <c r="V66" i="22"/>
  <c r="O118" i="22"/>
  <c r="O47" i="22"/>
  <c r="O84" i="22" s="1"/>
  <c r="O108" i="22"/>
  <c r="O116" i="22" s="1"/>
  <c r="O119" i="22"/>
  <c r="O117" i="22" s="1"/>
  <c r="S66" i="22"/>
  <c r="Z66" i="22"/>
  <c r="O112" i="22" l="1"/>
  <c r="O114" i="22"/>
  <c r="O121" i="22" s="1"/>
  <c r="O131" i="22" s="1"/>
  <c r="R81" i="22"/>
  <c r="P104" i="22"/>
  <c r="P81" i="22"/>
  <c r="F75" i="22"/>
  <c r="U75" i="22"/>
  <c r="U63" i="22"/>
  <c r="U65" i="22"/>
  <c r="U48" i="22"/>
  <c r="E81" i="22" l="1"/>
  <c r="F63" i="22"/>
  <c r="F64" i="22"/>
  <c r="F65" i="22"/>
  <c r="Z65" i="22" s="1"/>
  <c r="F48" i="22"/>
  <c r="A63" i="22"/>
  <c r="A64" i="22" s="1"/>
  <c r="A65" i="22" s="1"/>
  <c r="A66" i="22" s="1"/>
  <c r="A67" i="22" s="1"/>
  <c r="A49" i="22"/>
  <c r="A50" i="22" s="1"/>
  <c r="A51" i="22" s="1"/>
  <c r="A52" i="22" s="1"/>
  <c r="A53" i="22" s="1"/>
  <c r="A54" i="22" s="1"/>
  <c r="A55" i="22" s="1"/>
  <c r="A56" i="22" s="1"/>
  <c r="A57" i="22" s="1"/>
  <c r="A58" i="22" s="1"/>
  <c r="E25" i="22"/>
  <c r="U25" i="22" s="1"/>
  <c r="E22" i="22"/>
  <c r="U22" i="22" s="1"/>
  <c r="E21" i="22"/>
  <c r="U21" i="22" s="1"/>
  <c r="E20" i="22"/>
  <c r="U20" i="22" s="1"/>
  <c r="Y67" i="22"/>
  <c r="Y82" i="22" s="1"/>
  <c r="Z75" i="22"/>
  <c r="S65" i="22" l="1"/>
  <c r="V65" i="22"/>
  <c r="Z63" i="22"/>
  <c r="V63" i="22"/>
  <c r="Q48" i="22"/>
  <c r="S48" i="22"/>
  <c r="Z48" i="22"/>
  <c r="T48" i="22"/>
  <c r="V48" i="22"/>
  <c r="W48" i="22"/>
  <c r="N110" i="22"/>
  <c r="N109" i="22"/>
  <c r="N93" i="22"/>
  <c r="N86" i="22"/>
  <c r="N100" i="22" s="1"/>
  <c r="N81" i="22"/>
  <c r="N79" i="22"/>
  <c r="N69" i="22"/>
  <c r="N68" i="22"/>
  <c r="N67" i="22" s="1"/>
  <c r="N82" i="22" s="1"/>
  <c r="N33" i="22"/>
  <c r="N18" i="22"/>
  <c r="N14" i="22"/>
  <c r="N9" i="22"/>
  <c r="N47" i="22" l="1"/>
  <c r="N114" i="22" s="1"/>
  <c r="N108" i="22"/>
  <c r="N119" i="22"/>
  <c r="N80" i="22"/>
  <c r="N77" i="22" s="1"/>
  <c r="N116" i="22" s="1"/>
  <c r="N118" i="22"/>
  <c r="N117" i="22" s="1"/>
  <c r="N112" i="22"/>
  <c r="F53" i="22"/>
  <c r="F54" i="22"/>
  <c r="F55" i="22"/>
  <c r="M110" i="22"/>
  <c r="M109" i="22"/>
  <c r="M93" i="22"/>
  <c r="M86" i="22"/>
  <c r="M100" i="22" s="1"/>
  <c r="M81" i="22"/>
  <c r="M79" i="22"/>
  <c r="M67" i="22"/>
  <c r="M82" i="22" s="1"/>
  <c r="M80" i="22" s="1"/>
  <c r="M33" i="22"/>
  <c r="M18" i="22"/>
  <c r="M14" i="22"/>
  <c r="M9" i="22"/>
  <c r="M118" i="22" l="1"/>
  <c r="M117" i="22" s="1"/>
  <c r="S54" i="22"/>
  <c r="AA54" i="22"/>
  <c r="Q54" i="22"/>
  <c r="T54" i="22"/>
  <c r="Z54" i="22"/>
  <c r="Z53" i="22"/>
  <c r="T53" i="22"/>
  <c r="AA53" i="22"/>
  <c r="Q53" i="22"/>
  <c r="S55" i="22"/>
  <c r="AA55" i="22"/>
  <c r="Q55" i="22"/>
  <c r="Z55" i="22"/>
  <c r="T55" i="22"/>
  <c r="M108" i="22"/>
  <c r="M112" i="22" s="1"/>
  <c r="M119" i="22"/>
  <c r="N121" i="22"/>
  <c r="N131" i="22" s="1"/>
  <c r="N84" i="22"/>
  <c r="S53" i="22"/>
  <c r="M77" i="22"/>
  <c r="M47" i="22"/>
  <c r="U105" i="22"/>
  <c r="U106" i="22"/>
  <c r="F106" i="22"/>
  <c r="F105" i="22"/>
  <c r="E104" i="22"/>
  <c r="Z105" i="22" l="1"/>
  <c r="T105" i="22"/>
  <c r="Q105" i="22"/>
  <c r="W105" i="22"/>
  <c r="S106" i="22"/>
  <c r="Q106" i="22"/>
  <c r="T106" i="22"/>
  <c r="W106" i="22"/>
  <c r="V106" i="22"/>
  <c r="M114" i="22"/>
  <c r="M84" i="22"/>
  <c r="M116" i="22"/>
  <c r="V105" i="22"/>
  <c r="S105" i="22"/>
  <c r="Z106" i="22"/>
  <c r="U53" i="22"/>
  <c r="U54" i="22"/>
  <c r="U55" i="22"/>
  <c r="V53" i="22" l="1"/>
  <c r="W53" i="22"/>
  <c r="V55" i="22"/>
  <c r="W55" i="22"/>
  <c r="V54" i="22"/>
  <c r="W54" i="22"/>
  <c r="M121" i="22"/>
  <c r="M131" i="22" s="1"/>
  <c r="R110" i="22"/>
  <c r="H110" i="22"/>
  <c r="I110" i="22"/>
  <c r="J110" i="22"/>
  <c r="K110" i="22"/>
  <c r="L110" i="22"/>
  <c r="P110" i="22"/>
  <c r="G110" i="22"/>
  <c r="D110" i="22"/>
  <c r="E110" i="22"/>
  <c r="F15" i="22" l="1"/>
  <c r="F13" i="22"/>
  <c r="F12" i="22"/>
  <c r="F11" i="22"/>
  <c r="F10" i="22"/>
  <c r="F8" i="22"/>
  <c r="F7" i="22"/>
  <c r="L109" i="22"/>
  <c r="L108" i="22" s="1"/>
  <c r="L93" i="22"/>
  <c r="L86" i="22"/>
  <c r="L100" i="22" s="1"/>
  <c r="L81" i="22"/>
  <c r="L79" i="22"/>
  <c r="L67" i="22"/>
  <c r="L33" i="22"/>
  <c r="L18" i="22"/>
  <c r="L14" i="22"/>
  <c r="L9" i="22"/>
  <c r="L82" i="22" l="1"/>
  <c r="L119" i="22" s="1"/>
  <c r="L47" i="22"/>
  <c r="L114" i="22" s="1"/>
  <c r="L118" i="22"/>
  <c r="L112" i="22"/>
  <c r="L80" i="22" l="1"/>
  <c r="L77" i="22" s="1"/>
  <c r="L116" i="22" s="1"/>
  <c r="L121" i="22" s="1"/>
  <c r="L131" i="22" s="1"/>
  <c r="L117" i="22"/>
  <c r="U103" i="22"/>
  <c r="U98" i="22"/>
  <c r="F98" i="22"/>
  <c r="S98" i="22" s="1"/>
  <c r="F103" i="22"/>
  <c r="L84" i="22" l="1"/>
  <c r="V103" i="22"/>
  <c r="AA103" i="22"/>
  <c r="Q103" i="22"/>
  <c r="W103" i="22"/>
  <c r="T103" i="22"/>
  <c r="S103" i="22"/>
  <c r="V98" i="22"/>
  <c r="E41" i="22"/>
  <c r="U41" i="22" s="1"/>
  <c r="E27" i="22"/>
  <c r="U27" i="22" s="1"/>
  <c r="E13" i="22"/>
  <c r="U13" i="22" s="1"/>
  <c r="E10" i="22"/>
  <c r="U10" i="22" s="1"/>
  <c r="Y110" i="22" l="1"/>
  <c r="Z103" i="22"/>
  <c r="A103" i="22"/>
  <c r="A104" i="22" s="1"/>
  <c r="Y93" i="22"/>
  <c r="Z98" i="22"/>
  <c r="K109" i="22" l="1"/>
  <c r="K108" i="22" s="1"/>
  <c r="K93" i="22"/>
  <c r="K86" i="22"/>
  <c r="K100" i="22" s="1"/>
  <c r="K81" i="22"/>
  <c r="K79" i="22"/>
  <c r="K69" i="22"/>
  <c r="K68" i="22"/>
  <c r="K33" i="22"/>
  <c r="K18" i="22"/>
  <c r="K14" i="22"/>
  <c r="K9" i="22"/>
  <c r="K67" i="22" l="1"/>
  <c r="K118" i="22"/>
  <c r="K47" i="22"/>
  <c r="K112" i="22"/>
  <c r="K82" i="22" l="1"/>
  <c r="K80" i="22" s="1"/>
  <c r="K77" i="22" s="1"/>
  <c r="K116" i="22" s="1"/>
  <c r="K114" i="22"/>
  <c r="E9" i="22"/>
  <c r="U9" i="22" s="1"/>
  <c r="P67" i="22"/>
  <c r="P82" i="22" s="1"/>
  <c r="K121" i="22" l="1"/>
  <c r="K131" i="22" s="1"/>
  <c r="K84" i="22"/>
  <c r="K119" i="22"/>
  <c r="K117" i="22" s="1"/>
  <c r="U51" i="22"/>
  <c r="J109" i="22"/>
  <c r="J108" i="22" s="1"/>
  <c r="J93" i="22"/>
  <c r="J86" i="22"/>
  <c r="J100" i="22" s="1"/>
  <c r="J81" i="22"/>
  <c r="J79" i="22"/>
  <c r="J67" i="22"/>
  <c r="J33" i="22"/>
  <c r="J18" i="22"/>
  <c r="J14" i="22"/>
  <c r="J9" i="22"/>
  <c r="I81" i="22"/>
  <c r="H81" i="22"/>
  <c r="G81" i="22"/>
  <c r="F51" i="22"/>
  <c r="U58" i="22"/>
  <c r="F58" i="22"/>
  <c r="U62" i="22"/>
  <c r="F62" i="22"/>
  <c r="Z62" i="22" s="1"/>
  <c r="Z58" i="22" l="1"/>
  <c r="W58" i="22"/>
  <c r="Q58" i="22"/>
  <c r="AA58" i="22"/>
  <c r="T58" i="22"/>
  <c r="J82" i="22"/>
  <c r="J119" i="22" s="1"/>
  <c r="V51" i="22"/>
  <c r="Z51" i="22"/>
  <c r="T51" i="22"/>
  <c r="Q51" i="22"/>
  <c r="W51" i="22"/>
  <c r="S51" i="22"/>
  <c r="J47" i="22"/>
  <c r="J114" i="22" s="1"/>
  <c r="J118" i="22"/>
  <c r="J112" i="22"/>
  <c r="V62" i="22"/>
  <c r="V58" i="22"/>
  <c r="S58" i="22"/>
  <c r="J117" i="22" l="1"/>
  <c r="J80" i="22"/>
  <c r="J77" i="22" s="1"/>
  <c r="J116" i="22"/>
  <c r="J121" i="22" s="1"/>
  <c r="J131" i="22" s="1"/>
  <c r="J84" i="22"/>
  <c r="U73" i="22" l="1"/>
  <c r="F73" i="22"/>
  <c r="D67" i="22"/>
  <c r="W73" i="22" l="1"/>
  <c r="Q73" i="22"/>
  <c r="Z73" i="22"/>
  <c r="T73" i="22"/>
  <c r="V73" i="22"/>
  <c r="S73" i="22"/>
  <c r="I109" i="22" l="1"/>
  <c r="I93" i="22"/>
  <c r="I86" i="22"/>
  <c r="I100" i="22" s="1"/>
  <c r="I79" i="22"/>
  <c r="I67" i="22"/>
  <c r="I82" i="22" s="1"/>
  <c r="I33" i="22"/>
  <c r="I18" i="22"/>
  <c r="I14" i="22"/>
  <c r="I9" i="22"/>
  <c r="I80" i="22" l="1"/>
  <c r="I77" i="22" s="1"/>
  <c r="I118" i="22"/>
  <c r="I108" i="22"/>
  <c r="I112" i="22" s="1"/>
  <c r="I119" i="22"/>
  <c r="I47" i="22"/>
  <c r="I116" i="22" l="1"/>
  <c r="I117" i="22"/>
  <c r="I114" i="22"/>
  <c r="I84" i="22"/>
  <c r="U104" i="22"/>
  <c r="U71" i="22"/>
  <c r="F43" i="22"/>
  <c r="V43" i="22" s="1"/>
  <c r="F32" i="22"/>
  <c r="H109" i="22"/>
  <c r="H93" i="22"/>
  <c r="H86" i="22"/>
  <c r="H100" i="22" s="1"/>
  <c r="H79" i="22"/>
  <c r="H67" i="22"/>
  <c r="H33" i="22"/>
  <c r="H18" i="22"/>
  <c r="H14" i="22"/>
  <c r="H9" i="22"/>
  <c r="F104" i="22"/>
  <c r="F71" i="22"/>
  <c r="Z104" i="22" l="1"/>
  <c r="T104" i="22"/>
  <c r="Q104" i="22"/>
  <c r="W104" i="22"/>
  <c r="H82" i="22"/>
  <c r="H80" i="22" s="1"/>
  <c r="H77" i="22" s="1"/>
  <c r="S71" i="22"/>
  <c r="AA71" i="22"/>
  <c r="I121" i="22"/>
  <c r="I131" i="22" s="1"/>
  <c r="Q32" i="22"/>
  <c r="W32" i="22"/>
  <c r="V32" i="22"/>
  <c r="T32" i="22"/>
  <c r="H108" i="22"/>
  <c r="H118" i="22"/>
  <c r="S104" i="22"/>
  <c r="Z43" i="22"/>
  <c r="Z71" i="22"/>
  <c r="S43" i="22"/>
  <c r="Q71" i="22"/>
  <c r="Z32" i="22"/>
  <c r="H47" i="22"/>
  <c r="H114" i="22" s="1"/>
  <c r="V104" i="22"/>
  <c r="V71" i="22"/>
  <c r="W71" i="22"/>
  <c r="T71" i="22"/>
  <c r="S32" i="22"/>
  <c r="H119" i="22" l="1"/>
  <c r="H117" i="22" s="1"/>
  <c r="H116" i="22"/>
  <c r="H121" i="22" s="1"/>
  <c r="H131" i="22" s="1"/>
  <c r="H112" i="22"/>
  <c r="H84" i="22"/>
  <c r="A25" i="22" l="1"/>
  <c r="R109" i="22" l="1"/>
  <c r="R108" i="22" s="1"/>
  <c r="Y9" i="22" l="1"/>
  <c r="R9" i="22"/>
  <c r="P9" i="22"/>
  <c r="G9" i="22"/>
  <c r="P33" i="22"/>
  <c r="P18" i="22"/>
  <c r="P14" i="22"/>
  <c r="P119" i="22"/>
  <c r="P79" i="22"/>
  <c r="P86" i="22"/>
  <c r="P100" i="22" s="1"/>
  <c r="P93" i="22"/>
  <c r="P109" i="22"/>
  <c r="F110" i="22"/>
  <c r="F102" i="22"/>
  <c r="F99" i="22"/>
  <c r="F97" i="22"/>
  <c r="F96" i="22"/>
  <c r="T96" i="22" s="1"/>
  <c r="F95" i="22"/>
  <c r="F94" i="22"/>
  <c r="F92" i="22"/>
  <c r="AA92" i="22" s="1"/>
  <c r="F91" i="22"/>
  <c r="AA91" i="22" s="1"/>
  <c r="F90" i="22"/>
  <c r="F89" i="22"/>
  <c r="F88" i="22"/>
  <c r="F87" i="22"/>
  <c r="F72" i="22"/>
  <c r="F70" i="22"/>
  <c r="AA70" i="22" s="1"/>
  <c r="F69" i="22"/>
  <c r="AA69" i="22" s="1"/>
  <c r="F68" i="22"/>
  <c r="AA68" i="22" s="1"/>
  <c r="AA64" i="22"/>
  <c r="F61" i="22"/>
  <c r="F60" i="22"/>
  <c r="F57" i="22"/>
  <c r="AA57" i="22" s="1"/>
  <c r="F56" i="22"/>
  <c r="F52" i="22"/>
  <c r="F50" i="22"/>
  <c r="F49" i="22"/>
  <c r="F46" i="22"/>
  <c r="F45" i="22"/>
  <c r="AA45" i="22" s="1"/>
  <c r="F44" i="22"/>
  <c r="F42" i="22"/>
  <c r="F41" i="22"/>
  <c r="T41" i="22" s="1"/>
  <c r="F40" i="22"/>
  <c r="T40" i="22" s="1"/>
  <c r="F39" i="22"/>
  <c r="F38" i="22"/>
  <c r="F37" i="22"/>
  <c r="F36" i="22"/>
  <c r="F35" i="22"/>
  <c r="F34" i="22"/>
  <c r="F31" i="22"/>
  <c r="F30" i="22"/>
  <c r="F29" i="22"/>
  <c r="F28" i="22"/>
  <c r="T28" i="22" s="1"/>
  <c r="F27" i="22"/>
  <c r="F26" i="22"/>
  <c r="F25" i="22"/>
  <c r="AA25" i="22" s="1"/>
  <c r="F24" i="22"/>
  <c r="F23" i="22"/>
  <c r="F22" i="22"/>
  <c r="F21" i="22"/>
  <c r="F20" i="22"/>
  <c r="F19" i="22"/>
  <c r="F17" i="22"/>
  <c r="F16" i="22"/>
  <c r="W11" i="22"/>
  <c r="AA102" i="22" l="1"/>
  <c r="T102" i="22"/>
  <c r="AA110" i="22"/>
  <c r="Q110" i="22"/>
  <c r="T110" i="22"/>
  <c r="F9" i="22"/>
  <c r="AA94" i="22"/>
  <c r="T94" i="22"/>
  <c r="T90" i="22"/>
  <c r="AA90" i="22"/>
  <c r="W40" i="22"/>
  <c r="Q40" i="22"/>
  <c r="Q10" i="22"/>
  <c r="W10" i="22"/>
  <c r="Z10" i="22"/>
  <c r="T10" i="22"/>
  <c r="T95" i="22"/>
  <c r="Q95" i="22"/>
  <c r="W95" i="22"/>
  <c r="T27" i="22"/>
  <c r="AA27" i="22"/>
  <c r="AA15" i="22"/>
  <c r="T15" i="22"/>
  <c r="AA16" i="22"/>
  <c r="T16" i="22"/>
  <c r="P47" i="22"/>
  <c r="S24" i="22"/>
  <c r="V24" i="22"/>
  <c r="AA11" i="22"/>
  <c r="T11" i="22"/>
  <c r="T13" i="22"/>
  <c r="AA13" i="22"/>
  <c r="S10" i="22"/>
  <c r="V10" i="22"/>
  <c r="P118" i="22"/>
  <c r="P117" i="22" s="1"/>
  <c r="P80" i="22"/>
  <c r="P108" i="22"/>
  <c r="P112" i="22" s="1"/>
  <c r="Z24" i="22"/>
  <c r="P114" i="22" l="1"/>
  <c r="P77" i="22"/>
  <c r="U64" i="22"/>
  <c r="U49" i="22"/>
  <c r="Y18" i="22"/>
  <c r="Z64" i="22"/>
  <c r="R18" i="22"/>
  <c r="G18" i="22"/>
  <c r="F18" i="22" s="1"/>
  <c r="G109" i="22"/>
  <c r="F109" i="22" s="1"/>
  <c r="T109" i="22" s="1"/>
  <c r="E109" i="22"/>
  <c r="E108" i="22" s="1"/>
  <c r="R79" i="22"/>
  <c r="F81" i="22"/>
  <c r="G79" i="22"/>
  <c r="F79" i="22" s="1"/>
  <c r="E79" i="22"/>
  <c r="G67" i="22"/>
  <c r="E33" i="22"/>
  <c r="U33" i="22" s="1"/>
  <c r="E18" i="22"/>
  <c r="U18" i="22" s="1"/>
  <c r="E14" i="22"/>
  <c r="U14" i="22" s="1"/>
  <c r="F67" i="22" l="1"/>
  <c r="G108" i="22"/>
  <c r="F108" i="22" s="1"/>
  <c r="U47" i="22"/>
  <c r="E47" i="22"/>
  <c r="U131" i="22" s="1"/>
  <c r="P84" i="22"/>
  <c r="P116" i="22"/>
  <c r="G118" i="22"/>
  <c r="F118" i="22" s="1"/>
  <c r="W64" i="22"/>
  <c r="T64" i="22"/>
  <c r="Q64" i="22"/>
  <c r="S64" i="22"/>
  <c r="V64" i="22"/>
  <c r="R118" i="22"/>
  <c r="P121" i="22" l="1"/>
  <c r="P131" i="22" s="1"/>
  <c r="D59" i="22" l="1"/>
  <c r="D82" i="22" s="1"/>
  <c r="G59" i="22"/>
  <c r="R59" i="22"/>
  <c r="R82" i="22" s="1"/>
  <c r="S60" i="22"/>
  <c r="U60" i="22"/>
  <c r="E61" i="22"/>
  <c r="U61" i="22"/>
  <c r="AD61" i="22"/>
  <c r="D21" i="22"/>
  <c r="D19" i="22"/>
  <c r="F59" i="22" l="1"/>
  <c r="F82" i="22" s="1"/>
  <c r="G82" i="22"/>
  <c r="E59" i="22"/>
  <c r="E82" i="22" s="1"/>
  <c r="U59" i="22"/>
  <c r="S61" i="22"/>
  <c r="Z60" i="22"/>
  <c r="Z61" i="22"/>
  <c r="V61" i="22"/>
  <c r="V60" i="22"/>
  <c r="D18" i="22"/>
  <c r="Z59" i="22" l="1"/>
  <c r="E80" i="22"/>
  <c r="E77" i="22" s="1"/>
  <c r="E84" i="22" s="1"/>
  <c r="R80" i="22"/>
  <c r="R77" i="22" s="1"/>
  <c r="R116" i="22" s="1"/>
  <c r="R119" i="22"/>
  <c r="R117" i="22" s="1"/>
  <c r="S59" i="22"/>
  <c r="G80" i="22"/>
  <c r="G119" i="22"/>
  <c r="V59" i="22"/>
  <c r="G77" i="22" l="1"/>
  <c r="F80" i="22"/>
  <c r="G117" i="22"/>
  <c r="F117" i="22" s="1"/>
  <c r="F119" i="22"/>
  <c r="Y109" i="22"/>
  <c r="AA109" i="22" s="1"/>
  <c r="Y86" i="22"/>
  <c r="Y100" i="22" s="1"/>
  <c r="Y79" i="22"/>
  <c r="Y33" i="22"/>
  <c r="Y14" i="22"/>
  <c r="Y47" i="22" s="1"/>
  <c r="G116" i="22" l="1"/>
  <c r="F116" i="22" s="1"/>
  <c r="F77" i="22"/>
  <c r="Y119" i="22"/>
  <c r="Y108" i="22"/>
  <c r="Y80" i="22"/>
  <c r="Y77" i="22" s="1"/>
  <c r="Y118" i="22"/>
  <c r="AB18" i="22"/>
  <c r="AB15" i="22"/>
  <c r="Y112" i="22" l="1"/>
  <c r="AC112" i="22" s="1"/>
  <c r="AA108" i="22"/>
  <c r="Y84" i="22"/>
  <c r="Y117" i="22"/>
  <c r="Y116" i="22"/>
  <c r="Y114" i="22"/>
  <c r="Y121" i="22" l="1"/>
  <c r="D109" i="22"/>
  <c r="D108" i="22" s="1"/>
  <c r="U102" i="22"/>
  <c r="U109" i="22" s="1"/>
  <c r="S97" i="22"/>
  <c r="S96" i="22"/>
  <c r="R93" i="22"/>
  <c r="G93" i="22"/>
  <c r="F93" i="22" s="1"/>
  <c r="D93" i="22"/>
  <c r="S91" i="22"/>
  <c r="S89" i="22"/>
  <c r="A90" i="22"/>
  <c r="A91" i="22" s="1"/>
  <c r="A92" i="22" s="1"/>
  <c r="A93" i="22" s="1"/>
  <c r="AA88" i="22"/>
  <c r="Z87" i="22"/>
  <c r="U86" i="22"/>
  <c r="R86" i="22"/>
  <c r="R100" i="22" s="1"/>
  <c r="G86" i="22"/>
  <c r="F86" i="22" s="1"/>
  <c r="D86" i="22"/>
  <c r="D100" i="22" s="1"/>
  <c r="D81" i="22"/>
  <c r="D79" i="22"/>
  <c r="U72" i="22"/>
  <c r="U70" i="22"/>
  <c r="Z70" i="22"/>
  <c r="U69" i="22"/>
  <c r="S69" i="22"/>
  <c r="U68" i="22"/>
  <c r="Z68" i="22"/>
  <c r="AC67" i="22"/>
  <c r="U57" i="22"/>
  <c r="S57" i="22"/>
  <c r="U56" i="22"/>
  <c r="T56" i="22"/>
  <c r="U52" i="22"/>
  <c r="U79" i="22" s="1"/>
  <c r="S52" i="22"/>
  <c r="U50" i="22"/>
  <c r="U81" i="22" s="1"/>
  <c r="T49" i="22"/>
  <c r="Q45" i="22"/>
  <c r="Q42" i="22"/>
  <c r="Z41" i="22"/>
  <c r="Z40" i="22"/>
  <c r="T39" i="22"/>
  <c r="A39" i="22"/>
  <c r="A40" i="22" s="1"/>
  <c r="A41" i="22" s="1"/>
  <c r="S38" i="22"/>
  <c r="T36" i="22"/>
  <c r="Q35" i="22"/>
  <c r="AA34" i="22"/>
  <c r="AB34" i="22" s="1"/>
  <c r="R33" i="22"/>
  <c r="G33" i="22"/>
  <c r="F33" i="22" s="1"/>
  <c r="D33" i="22"/>
  <c r="AA31" i="22"/>
  <c r="Q26" i="22"/>
  <c r="T25" i="22"/>
  <c r="A26" i="22"/>
  <c r="A27" i="22" s="1"/>
  <c r="A28" i="22" s="1"/>
  <c r="A29" i="22" s="1"/>
  <c r="A30" i="22" s="1"/>
  <c r="A31" i="22" s="1"/>
  <c r="A32" i="22" s="1"/>
  <c r="A33" i="22" s="1"/>
  <c r="T23" i="22"/>
  <c r="Q22" i="22"/>
  <c r="AA21" i="22"/>
  <c r="AB21" i="22" s="1"/>
  <c r="R14" i="22"/>
  <c r="G14" i="22"/>
  <c r="D14" i="22"/>
  <c r="D9" i="22"/>
  <c r="AD8" i="22"/>
  <c r="AE8" i="22" s="1"/>
  <c r="AA8" i="22"/>
  <c r="A8" i="22"/>
  <c r="AE7" i="22"/>
  <c r="AD7" i="22"/>
  <c r="C5" i="22"/>
  <c r="D5" i="22" s="1"/>
  <c r="E5" i="22" s="1"/>
  <c r="F5" i="22" s="1"/>
  <c r="G5" i="22" s="1"/>
  <c r="H5" i="22" s="1"/>
  <c r="I5" i="22" s="1"/>
  <c r="J5" i="22" s="1"/>
  <c r="K5" i="22" s="1"/>
  <c r="L5" i="22" s="1"/>
  <c r="M5" i="22" l="1"/>
  <c r="N5" i="22" s="1"/>
  <c r="R47" i="22"/>
  <c r="A42" i="22"/>
  <c r="A43" i="22" s="1"/>
  <c r="A44" i="22" s="1"/>
  <c r="A45" i="22" s="1"/>
  <c r="A46" i="22" s="1"/>
  <c r="F14" i="22"/>
  <c r="AA14" i="22" s="1"/>
  <c r="G47" i="22"/>
  <c r="F47" i="22" s="1"/>
  <c r="D118" i="22"/>
  <c r="V89" i="22"/>
  <c r="R112" i="22"/>
  <c r="U118" i="22"/>
  <c r="V7" i="22"/>
  <c r="Q7" i="22"/>
  <c r="S7" i="22"/>
  <c r="W102" i="22"/>
  <c r="S9" i="22"/>
  <c r="W94" i="22"/>
  <c r="D47" i="22"/>
  <c r="D114" i="22" s="1"/>
  <c r="V38" i="22"/>
  <c r="S88" i="22"/>
  <c r="V88" i="22"/>
  <c r="Z88" i="22"/>
  <c r="Q90" i="22"/>
  <c r="V96" i="22"/>
  <c r="V99" i="22"/>
  <c r="T21" i="22"/>
  <c r="AA89" i="22"/>
  <c r="Q20" i="22"/>
  <c r="W22" i="22"/>
  <c r="W45" i="22"/>
  <c r="AA49" i="22"/>
  <c r="W7" i="22"/>
  <c r="Z21" i="22"/>
  <c r="AD23" i="22"/>
  <c r="W31" i="22"/>
  <c r="Q94" i="22"/>
  <c r="V13" i="22"/>
  <c r="V21" i="22"/>
  <c r="T22" i="22"/>
  <c r="AA87" i="22"/>
  <c r="T89" i="22"/>
  <c r="S21" i="22"/>
  <c r="V25" i="22"/>
  <c r="V28" i="22"/>
  <c r="Q34" i="22"/>
  <c r="Q49" i="22"/>
  <c r="Z89" i="22"/>
  <c r="Q38" i="22"/>
  <c r="V52" i="22"/>
  <c r="S68" i="22"/>
  <c r="Q13" i="22"/>
  <c r="AA38" i="22"/>
  <c r="W41" i="22"/>
  <c r="Z56" i="22"/>
  <c r="T68" i="22"/>
  <c r="S13" i="22"/>
  <c r="V29" i="22"/>
  <c r="V68" i="22"/>
  <c r="V50" i="22"/>
  <c r="Z13" i="22"/>
  <c r="AA23" i="22"/>
  <c r="W27" i="22"/>
  <c r="W36" i="22"/>
  <c r="T38" i="22"/>
  <c r="Q69" i="22"/>
  <c r="S26" i="22"/>
  <c r="AA26" i="22"/>
  <c r="S35" i="22"/>
  <c r="V37" i="22"/>
  <c r="S40" i="22"/>
  <c r="AA56" i="22"/>
  <c r="V12" i="22"/>
  <c r="V33" i="22"/>
  <c r="S34" i="22"/>
  <c r="S23" i="22"/>
  <c r="T34" i="22"/>
  <c r="S42" i="22"/>
  <c r="S50" i="22"/>
  <c r="W68" i="22"/>
  <c r="V69" i="22"/>
  <c r="AA79" i="22"/>
  <c r="AC15" i="22"/>
  <c r="Q21" i="22"/>
  <c r="Q25" i="22"/>
  <c r="V26" i="22"/>
  <c r="W29" i="22"/>
  <c r="W34" i="22"/>
  <c r="V35" i="22"/>
  <c r="AA39" i="22"/>
  <c r="AB39" i="22" s="1"/>
  <c r="Q41" i="22"/>
  <c r="W42" i="22"/>
  <c r="V56" i="22"/>
  <c r="W69" i="22"/>
  <c r="E86" i="22"/>
  <c r="S94" i="22"/>
  <c r="W96" i="22"/>
  <c r="V97" i="22"/>
  <c r="S56" i="22"/>
  <c r="Z39" i="22"/>
  <c r="W46" i="22"/>
  <c r="AA50" i="22"/>
  <c r="Q102" i="22"/>
  <c r="W19" i="22"/>
  <c r="AC18" i="22"/>
  <c r="W23" i="22"/>
  <c r="W26" i="22"/>
  <c r="Q29" i="22"/>
  <c r="V31" i="22"/>
  <c r="W35" i="22"/>
  <c r="V40" i="22"/>
  <c r="W56" i="22"/>
  <c r="Z96" i="22"/>
  <c r="Z35" i="22"/>
  <c r="Q30" i="22"/>
  <c r="Z26" i="22"/>
  <c r="AA35" i="22"/>
  <c r="AB35" i="22" s="1"/>
  <c r="S39" i="22"/>
  <c r="U67" i="22"/>
  <c r="U82" i="22" s="1"/>
  <c r="V17" i="22"/>
  <c r="W20" i="22"/>
  <c r="T26" i="22"/>
  <c r="T35" i="22"/>
  <c r="Q37" i="22"/>
  <c r="Z50" i="22"/>
  <c r="Q57" i="22"/>
  <c r="Q91" i="22"/>
  <c r="Z94" i="22"/>
  <c r="S99" i="22"/>
  <c r="V11" i="22"/>
  <c r="AF47" i="22"/>
  <c r="V39" i="22"/>
  <c r="W39" i="22"/>
  <c r="W16" i="22"/>
  <c r="V16" i="22"/>
  <c r="AA33" i="22"/>
  <c r="T33" i="22"/>
  <c r="S33" i="22"/>
  <c r="Z33" i="22"/>
  <c r="AA93" i="22"/>
  <c r="T93" i="22"/>
  <c r="S93" i="22"/>
  <c r="Z93" i="22"/>
  <c r="W44" i="22"/>
  <c r="S18" i="22"/>
  <c r="Z18" i="22"/>
  <c r="T18" i="22"/>
  <c r="AA18" i="22"/>
  <c r="V15" i="22"/>
  <c r="W15" i="22"/>
  <c r="AC47" i="22"/>
  <c r="AD45" i="22"/>
  <c r="AA30" i="22"/>
  <c r="Q44" i="22"/>
  <c r="Z12" i="22"/>
  <c r="Z17" i="22"/>
  <c r="Z7" i="22"/>
  <c r="Q8" i="22"/>
  <c r="T12" i="22"/>
  <c r="AA12" i="22"/>
  <c r="AA29" i="22"/>
  <c r="AB29" i="22" s="1"/>
  <c r="Q31" i="22"/>
  <c r="V36" i="22"/>
  <c r="AA7" i="22"/>
  <c r="S8" i="22"/>
  <c r="Z8" i="22"/>
  <c r="S11" i="22"/>
  <c r="Z11" i="22"/>
  <c r="W13" i="22"/>
  <c r="Z15" i="22"/>
  <c r="S16" i="22"/>
  <c r="Z20" i="22"/>
  <c r="AD21" i="22"/>
  <c r="T29" i="22"/>
  <c r="V30" i="22"/>
  <c r="S31" i="22"/>
  <c r="T37" i="22"/>
  <c r="S41" i="22"/>
  <c r="V45" i="22"/>
  <c r="Z45" i="22"/>
  <c r="S46" i="22"/>
  <c r="V70" i="22"/>
  <c r="W70" i="22"/>
  <c r="S70" i="22"/>
  <c r="Q70" i="22"/>
  <c r="V92" i="22"/>
  <c r="Q92" i="22"/>
  <c r="S92" i="22"/>
  <c r="Z92" i="22"/>
  <c r="W12" i="22"/>
  <c r="W17" i="22"/>
  <c r="T20" i="22"/>
  <c r="W21" i="22"/>
  <c r="V23" i="22"/>
  <c r="Z23" i="22"/>
  <c r="Z27" i="22"/>
  <c r="S27" i="22"/>
  <c r="Q28" i="22"/>
  <c r="Z36" i="22"/>
  <c r="S36" i="22"/>
  <c r="AA36" i="22"/>
  <c r="W37" i="22"/>
  <c r="V41" i="22"/>
  <c r="V46" i="22"/>
  <c r="AA52" i="22"/>
  <c r="V57" i="22"/>
  <c r="W89" i="22"/>
  <c r="U100" i="22"/>
  <c r="W92" i="22"/>
  <c r="Q12" i="22"/>
  <c r="Z30" i="22"/>
  <c r="S30" i="22"/>
  <c r="S12" i="22"/>
  <c r="AA19" i="22"/>
  <c r="T19" i="22"/>
  <c r="S28" i="22"/>
  <c r="T30" i="22"/>
  <c r="Z37" i="22"/>
  <c r="V42" i="22"/>
  <c r="AA44" i="22"/>
  <c r="T44" i="22"/>
  <c r="Z44" i="22"/>
  <c r="Q46" i="22"/>
  <c r="W49" i="22"/>
  <c r="Q56" i="22"/>
  <c r="Z57" i="22"/>
  <c r="Z95" i="22"/>
  <c r="V95" i="22"/>
  <c r="S95" i="22"/>
  <c r="V22" i="22"/>
  <c r="AA17" i="22"/>
  <c r="S19" i="22"/>
  <c r="Q39" i="22"/>
  <c r="V79" i="22"/>
  <c r="Z79" i="22"/>
  <c r="S79" i="22"/>
  <c r="Q17" i="22"/>
  <c r="Z28" i="22"/>
  <c r="S17" i="22"/>
  <c r="Q11" i="22"/>
  <c r="Q15" i="22"/>
  <c r="T17" i="22"/>
  <c r="V18" i="22"/>
  <c r="V27" i="22"/>
  <c r="AA37" i="22"/>
  <c r="S44" i="22"/>
  <c r="T7" i="22"/>
  <c r="Z16" i="22"/>
  <c r="Q19" i="22"/>
  <c r="Z19" i="22"/>
  <c r="Q16" i="22"/>
  <c r="Z29" i="22"/>
  <c r="S29" i="22"/>
  <c r="S37" i="22"/>
  <c r="Z46" i="22"/>
  <c r="W57" i="22"/>
  <c r="T57" i="22"/>
  <c r="S15" i="22"/>
  <c r="W25" i="22"/>
  <c r="Z25" i="22"/>
  <c r="Z31" i="22"/>
  <c r="V87" i="22"/>
  <c r="S87" i="22"/>
  <c r="Q87" i="22"/>
  <c r="T87" i="22"/>
  <c r="D112" i="22"/>
  <c r="T8" i="22"/>
  <c r="V19" i="22"/>
  <c r="S20" i="22"/>
  <c r="AA20" i="22"/>
  <c r="Z22" i="22"/>
  <c r="S22" i="22"/>
  <c r="AA22" i="22"/>
  <c r="Q23" i="22"/>
  <c r="S25" i="22"/>
  <c r="AB25" i="22"/>
  <c r="Q27" i="22"/>
  <c r="W28" i="22"/>
  <c r="W30" i="22"/>
  <c r="T31" i="22"/>
  <c r="Z34" i="22"/>
  <c r="Q36" i="22"/>
  <c r="W38" i="22"/>
  <c r="Z38" i="22"/>
  <c r="AA42" i="22"/>
  <c r="T42" i="22"/>
  <c r="Z42" i="22"/>
  <c r="V44" i="22"/>
  <c r="S45" i="22"/>
  <c r="V49" i="22"/>
  <c r="Z49" i="22"/>
  <c r="S49" i="22"/>
  <c r="Z52" i="22"/>
  <c r="T70" i="22"/>
  <c r="W87" i="22"/>
  <c r="Z90" i="22"/>
  <c r="S90" i="22"/>
  <c r="V90" i="22"/>
  <c r="W90" i="22"/>
  <c r="T92" i="22"/>
  <c r="AA95" i="22"/>
  <c r="U93" i="22"/>
  <c r="W93" i="22" s="1"/>
  <c r="V94" i="22"/>
  <c r="AA97" i="22"/>
  <c r="T97" i="22"/>
  <c r="W97" i="22"/>
  <c r="Q97" i="22"/>
  <c r="Z97" i="22"/>
  <c r="Q68" i="22"/>
  <c r="G100" i="22"/>
  <c r="E93" i="22"/>
  <c r="Q93" i="22" s="1"/>
  <c r="T69" i="22"/>
  <c r="Z69" i="22"/>
  <c r="Q89" i="22"/>
  <c r="E118" i="22"/>
  <c r="T91" i="22"/>
  <c r="Z91" i="22"/>
  <c r="V102" i="22"/>
  <c r="Z102" i="22"/>
  <c r="S102" i="22"/>
  <c r="AA99" i="22"/>
  <c r="T99" i="22"/>
  <c r="W99" i="22"/>
  <c r="Q99" i="22"/>
  <c r="Z99" i="22"/>
  <c r="Q96" i="22"/>
  <c r="AA96" i="22"/>
  <c r="O5" i="22" l="1"/>
  <c r="P5" i="22" s="1"/>
  <c r="S5" i="22" s="1"/>
  <c r="T14" i="22"/>
  <c r="Z14" i="22"/>
  <c r="V14" i="22"/>
  <c r="W14" i="22"/>
  <c r="Q14" i="22"/>
  <c r="S14" i="22"/>
  <c r="E100" i="22"/>
  <c r="U133" i="22" s="1"/>
  <c r="G112" i="22"/>
  <c r="F100" i="22"/>
  <c r="T100" i="22" s="1"/>
  <c r="U80" i="22"/>
  <c r="U77" i="22" s="1"/>
  <c r="U84" i="22" s="1"/>
  <c r="G84" i="22"/>
  <c r="F84" i="22" s="1"/>
  <c r="AA9" i="22"/>
  <c r="V9" i="22"/>
  <c r="Z9" i="22"/>
  <c r="G114" i="22"/>
  <c r="T9" i="22"/>
  <c r="R84" i="22"/>
  <c r="R114" i="22"/>
  <c r="R121" i="22" s="1"/>
  <c r="R131" i="22" s="1"/>
  <c r="V20" i="22"/>
  <c r="W33" i="22"/>
  <c r="Q33" i="22"/>
  <c r="V34" i="22"/>
  <c r="Q18" i="22"/>
  <c r="Q9" i="22"/>
  <c r="S109" i="22"/>
  <c r="V109" i="22"/>
  <c r="Q109" i="22"/>
  <c r="Z109" i="22"/>
  <c r="W109" i="22"/>
  <c r="D119" i="22"/>
  <c r="D117" i="22" s="1"/>
  <c r="D80" i="22"/>
  <c r="D77" i="22" s="1"/>
  <c r="W72" i="22"/>
  <c r="S72" i="22"/>
  <c r="V72" i="22"/>
  <c r="T72" i="22"/>
  <c r="Q72" i="22"/>
  <c r="Z72" i="22"/>
  <c r="W18" i="22"/>
  <c r="W9" i="22"/>
  <c r="V93" i="22"/>
  <c r="AC84" i="22"/>
  <c r="Q67" i="22"/>
  <c r="AA67" i="22"/>
  <c r="T67" i="22"/>
  <c r="W67" i="22"/>
  <c r="Z67" i="22"/>
  <c r="S67" i="22"/>
  <c r="V67" i="22"/>
  <c r="Q47" i="22"/>
  <c r="W81" i="22"/>
  <c r="V81" i="22"/>
  <c r="Q81" i="22"/>
  <c r="T81" i="22"/>
  <c r="S81" i="22"/>
  <c r="Z81" i="22"/>
  <c r="AA81" i="22"/>
  <c r="Z47" i="22"/>
  <c r="S47" i="22"/>
  <c r="AC45" i="22"/>
  <c r="AE45" i="22" s="1"/>
  <c r="AA47" i="22"/>
  <c r="T47" i="22"/>
  <c r="V8" i="22"/>
  <c r="W8" i="22"/>
  <c r="V47" i="22"/>
  <c r="U108" i="22"/>
  <c r="U112" i="22" s="1"/>
  <c r="Z86" i="22"/>
  <c r="T86" i="22"/>
  <c r="W86" i="22"/>
  <c r="AA86" i="22"/>
  <c r="S86" i="22"/>
  <c r="Q86" i="22"/>
  <c r="V86" i="22"/>
  <c r="T108" i="22"/>
  <c r="V110" i="22"/>
  <c r="V91" i="22"/>
  <c r="W91" i="22"/>
  <c r="Z5" i="22" l="1"/>
  <c r="AA5" i="22" s="1"/>
  <c r="T5" i="22"/>
  <c r="U5" i="22" s="1"/>
  <c r="V5" i="22" s="1"/>
  <c r="W5" i="22" s="1"/>
  <c r="X5" i="22" s="1"/>
  <c r="F112" i="22"/>
  <c r="G121" i="22"/>
  <c r="F114" i="22"/>
  <c r="S114" i="22" s="1"/>
  <c r="U119" i="22"/>
  <c r="U117" i="22" s="1"/>
  <c r="U121" i="22"/>
  <c r="U135" i="22"/>
  <c r="U136" i="22" s="1"/>
  <c r="U134" i="22"/>
  <c r="Z110" i="22"/>
  <c r="S110" i="22"/>
  <c r="U116" i="22"/>
  <c r="V118" i="22"/>
  <c r="S118" i="22"/>
  <c r="W118" i="22"/>
  <c r="AA118" i="22"/>
  <c r="Z118" i="22"/>
  <c r="Q118" i="22"/>
  <c r="T118" i="22"/>
  <c r="D116" i="22"/>
  <c r="D121" i="22" s="1"/>
  <c r="D131" i="22" s="1"/>
  <c r="D84" i="22"/>
  <c r="U132" i="22"/>
  <c r="E114" i="22"/>
  <c r="S108" i="22"/>
  <c r="V108" i="22"/>
  <c r="W108" i="22"/>
  <c r="Z108" i="22"/>
  <c r="AA100" i="22"/>
  <c r="Q100" i="22"/>
  <c r="S100" i="22"/>
  <c r="V100" i="22"/>
  <c r="Z100" i="22"/>
  <c r="W100" i="22"/>
  <c r="U114" i="22"/>
  <c r="W47" i="22"/>
  <c r="AF84" i="22"/>
  <c r="F121" i="22" l="1"/>
  <c r="G131" i="22"/>
  <c r="Q114" i="22"/>
  <c r="Z114" i="22"/>
  <c r="AA114" i="22"/>
  <c r="T114" i="22"/>
  <c r="W114" i="22"/>
  <c r="V114" i="22"/>
  <c r="E119" i="22"/>
  <c r="E117" i="22" s="1"/>
  <c r="V119" i="22"/>
  <c r="S119" i="22"/>
  <c r="Z119" i="22"/>
  <c r="AA119" i="22"/>
  <c r="T119" i="22"/>
  <c r="W119" i="22"/>
  <c r="W82" i="22"/>
  <c r="Z82" i="22"/>
  <c r="S82" i="22"/>
  <c r="V82" i="22"/>
  <c r="AA82" i="22"/>
  <c r="T82" i="22"/>
  <c r="Q82" i="22"/>
  <c r="F134" i="22" l="1"/>
  <c r="F131" i="22"/>
  <c r="Q119" i="22"/>
  <c r="W80" i="22"/>
  <c r="AA80" i="22"/>
  <c r="T80" i="22"/>
  <c r="Q80" i="22"/>
  <c r="Z80" i="22"/>
  <c r="V80" i="22"/>
  <c r="S80" i="22"/>
  <c r="E116" i="22"/>
  <c r="E121" i="22" s="1"/>
  <c r="D128" i="22" s="1"/>
  <c r="E112" i="22"/>
  <c r="Q108" i="22"/>
  <c r="AA112" i="22"/>
  <c r="T112" i="22"/>
  <c r="V112" i="22"/>
  <c r="Z112" i="22"/>
  <c r="S112" i="22"/>
  <c r="W112" i="22"/>
  <c r="V117" i="22"/>
  <c r="S117" i="22"/>
  <c r="AA117" i="22"/>
  <c r="T117" i="22"/>
  <c r="Q117" i="22"/>
  <c r="W117" i="22"/>
  <c r="Z117" i="22"/>
  <c r="E131" i="22" l="1"/>
  <c r="E134" i="22"/>
  <c r="T77" i="22"/>
  <c r="Z77" i="22"/>
  <c r="AA77" i="22"/>
  <c r="V77" i="22"/>
  <c r="W77" i="22"/>
  <c r="Q77" i="22"/>
  <c r="S77" i="22"/>
  <c r="V116" i="22"/>
  <c r="S116" i="22"/>
  <c r="Q116" i="22"/>
  <c r="Z116" i="22"/>
  <c r="T116" i="22"/>
  <c r="W116" i="22"/>
  <c r="AA116" i="22"/>
  <c r="Q112" i="22"/>
  <c r="V121" i="22" l="1"/>
  <c r="S121" i="22"/>
  <c r="Z121" i="22"/>
  <c r="AA121" i="22"/>
  <c r="Q121" i="22"/>
  <c r="W121" i="22"/>
  <c r="T121" i="22"/>
  <c r="V84" i="22"/>
  <c r="T84" i="22"/>
  <c r="Q84" i="22"/>
  <c r="W84" i="22"/>
  <c r="AA84" i="22"/>
  <c r="Z84" i="22"/>
  <c r="S84" i="22"/>
  <c r="AC121" i="22" l="1"/>
</calcChain>
</file>

<file path=xl/sharedStrings.xml><?xml version="1.0" encoding="utf-8"?>
<sst xmlns="http://schemas.openxmlformats.org/spreadsheetml/2006/main" count="248" uniqueCount="234">
  <si>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</si>
  <si>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</si>
  <si>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</si>
  <si>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</si>
  <si>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</si>
  <si>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</si>
  <si>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</si>
  <si>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</si>
  <si>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</si>
  <si>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</si>
  <si>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</si>
  <si>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</si>
  <si>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</si>
  <si>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</si>
  <si>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</si>
  <si>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</si>
  <si>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</si>
  <si>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</si>
  <si>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</si>
  <si>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</si>
  <si>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</si>
  <si>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</si>
  <si>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</si>
  <si>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</si>
  <si>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</si>
  <si>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</si>
  <si>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</si>
  <si>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</si>
  <si>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</si>
  <si>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</si>
  <si>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</si>
  <si>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</si>
  <si>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</si>
  <si>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</si>
  <si>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</si>
  <si>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</si>
  <si>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</si>
  <si>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</si>
  <si>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</si>
  <si>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</si>
  <si>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</si>
  <si>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</si>
  <si>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</si>
  <si>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</si>
  <si>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</si>
  <si>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</si>
  <si>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</si>
  <si>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</si>
  <si>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</si>
  <si>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</si>
  <si>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</si>
  <si>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</si>
  <si>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</si>
  <si>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</si>
  <si>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</si>
  <si>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</si>
  <si>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</si>
  <si>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</si>
  <si>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</si>
  <si>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</si>
  <si>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</si>
  <si>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</si>
  <si>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</si>
  <si>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</si>
  <si>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</si>
  <si>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</si>
  <si>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</si>
  <si>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</si>
  <si>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</si>
  <si>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</si>
  <si>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</si>
  <si>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</si>
  <si>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</si>
  <si>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</si>
  <si>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</si>
  <si>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</si>
  <si>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</si>
  <si>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</si>
  <si>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</si>
  <si>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</si>
  <si>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</si>
  <si>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</si>
  <si>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</si>
  <si>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</si>
  <si>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</si>
  <si>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</si>
  <si>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</si>
  <si>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</si>
  <si>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</si>
  <si>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</si>
  <si>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</si>
  <si>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</si>
  <si>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</si>
  <si>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</si>
  <si>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</si>
  <si>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</si>
  <si>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</si>
  <si>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</si>
  <si>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</si>
  <si>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</si>
  <si>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</si>
  <si>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</si>
  <si>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</si>
  <si>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</si>
  <si>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</si>
  <si>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</si>
  <si>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</si>
  <si>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</si>
  <si>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</si>
  <si>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</si>
  <si>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</si>
  <si>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</si>
  <si>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</si>
  <si>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</si>
  <si>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</si>
  <si>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</si>
  <si>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</si>
  <si>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</si>
  <si>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</si>
  <si>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</si>
  <si>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</si>
  <si>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</si>
  <si>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</si>
  <si>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</si>
  <si>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</si>
  <si>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</si>
  <si>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</si>
  <si>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</si>
  <si>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</si>
  <si>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</si>
  <si>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</si>
  <si>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41055000</t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</si>
  <si>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</si>
  <si>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</si>
  <si>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</si>
  <si>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</si>
  <si>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</si>
  <si>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</si>
  <si>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</si>
  <si>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</si>
  <si>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</si>
  <si>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</si>
  <si>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</si>
  <si>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</si>
  <si>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</si>
  <si>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</si>
  <si>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</si>
  <si>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</si>
  <si>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ВСЬОГО ДОХОДІВ ЗАГАЛЬНОГО 
ТА СПЕЦІАЛЬНОГО ФОНДІВ</t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</si>
  <si>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</si>
  <si>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</si>
  <si>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</si>
  <si>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</si>
  <si>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</si>
  <si>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</si>
  <si>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</si>
  <si>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</si>
  <si>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</si>
  <si>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</si>
  <si>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</si>
  <si>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</si>
  <si>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</si>
  <si>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</si>
  <si>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</si>
  <si>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</si>
  <si>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</si>
  <si>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t>квітень</t>
  </si>
  <si>
    <t>41051400</t>
  </si>
  <si>
    <t>41034500</t>
  </si>
  <si>
    <t>травень</t>
  </si>
  <si>
    <t>червень</t>
  </si>
  <si>
    <t>41052600</t>
  </si>
  <si>
    <t>6.5.</t>
  </si>
  <si>
    <t>липень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</si>
  <si>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</si>
  <si>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</si>
  <si>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</si>
  <si>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</si>
  <si>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</si>
  <si>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</si>
  <si>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* на будівництво мережі каналізації на території приватного сектору квартального комітету «Добробут» мікрорайону «Старе місто» в м.Вінниці</t>
  </si>
  <si>
    <t>* на капітальний ремонт по очистці р.Південний Буг</t>
  </si>
  <si>
    <t>серпень</t>
  </si>
  <si>
    <t>вересень</t>
  </si>
  <si>
    <t>41053000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</si>
  <si>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</si>
  <si>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</si>
  <si>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41032700</t>
  </si>
  <si>
    <t>Субвенція з державного бюджету місцевим бюджетам на реалізацію програми "Спроможна школа для кращих результатів"</t>
  </si>
  <si>
    <t>Надійшло за січень - жовтень 2021р.</t>
  </si>
  <si>
    <t>План на січень - жовтень 2021 року</t>
  </si>
  <si>
    <t>Відхилення надходжень до бюджету на січень - жовтень 2021 року</t>
  </si>
  <si>
    <t>План на січень - жовтень 2021р. (розрахунковий)</t>
  </si>
  <si>
    <t xml:space="preserve">Відхилення надходжень до бюджету на січень - жовтень 2021 року (розрахунковий) </t>
  </si>
  <si>
    <t>Надійшло за січень - жовтень 2020р.</t>
  </si>
  <si>
    <t>Відхилення факту січня - жовтня 2021р. від факту січня - жовтня 2020р.</t>
  </si>
  <si>
    <t>% виконання до уточненого плану на 2021р. 
(норма 83,3 %)</t>
  </si>
  <si>
    <t>41055200</t>
  </si>
  <si>
    <t>18.1.</t>
  </si>
  <si>
    <t>18.2.</t>
  </si>
  <si>
    <t>18.3.</t>
  </si>
  <si>
    <t>18.4.</t>
  </si>
  <si>
    <t>18.5.</t>
  </si>
  <si>
    <t>18.6.</t>
  </si>
  <si>
    <t>18.7.</t>
  </si>
  <si>
    <t>жовтень</t>
  </si>
  <si>
    <t>* субвенція з бюджету Вороновицької селищної територіальної громади  на оплату комунальних послуг та енергоносіїв для терапевтичного та хірургічного відділень КНП «Вінницька клінічна багатопрофільна лікарня» Вінницької міської ради, які знаходяться за адресою: Вінницька область, Вінницький район, смт Вороновиця, вул. Гагаріна, буд.20</t>
  </si>
  <si>
    <t>Аналіз виконання бюджету Вінницької міської територіальної громади за січень - жовтень 2021 року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</si>
  <si>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</si>
  <si>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</si>
  <si>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Інші субвенції з місцевого бюджету:</t>
  </si>
  <si>
    <t>Субвенція з сільського бюджету села Вінницькі Хутори Вінницького району на капітальний ремонт дороги по вул. Войцехівського м.Вінниці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</si>
  <si>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</si>
  <si>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</si>
  <si>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</si>
  <si>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</si>
  <si>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</si>
  <si>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</si>
  <si>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</si>
  <si>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</si>
  <si>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</si>
  <si>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</si>
  <si>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місцевого бюджету на забезпечення подачею кисню ліжкового фонду закладів охорони здоров'я, які надають стаціонарну медичну допомогу пацієнтам з гострою респіраторною хворобою COVID-19, спричиненою коронавірусом SARS-CoV-2, за рахунок відповідної субвенції з державного бюджету</t>
  </si>
  <si>
    <t>Інші субвенції з місцевого бюджету</t>
  </si>
  <si>
    <t>* субвенція з обласного бюджету на відшкодування витрат на поховання учасників бойових дій та осіб з інвалідністю внаслідок війни</t>
  </si>
  <si>
    <t>* субвенція з обласного бюджету на пільгове медичне обслуговування  громадян, які постраждали внаслідок Чорнобильської катастрофи</t>
  </si>
  <si>
    <t>* субвенція з обласного бюджету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</si>
  <si>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</si>
  <si>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обласного бюджету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</si>
  <si>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* субвенція з бюджету Вороновицької 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КНП «Вінницька клінічна багатопрофільна лікарня» Вінницької міської ради, яка знаходиться за адресою: Вінницька область, смт Вороновиця, вул. Гагаріна, буд.20</t>
  </si>
  <si>
    <t>субвенція з обласного бюджету громадській організації «Футбольний клуб «Нива – Вінниця» для підготовки та участі спортсменів в чемпіонаті України з футболу серед команд другої ліги</t>
  </si>
  <si>
    <r>
      <t>Субвенція з місцевого бюджету на здійснення переданих видатків у</t>
    </r>
    <r>
      <rPr>
        <sz val="13.5"/>
        <rFont val="Times New Roman Cyr"/>
        <charset val="204"/>
      </rPr>
      <t xml:space="preserve"> сфері охорони злоров'я за рахунок коштів медичної субвенції:</t>
    </r>
  </si>
  <si>
    <t xml:space="preserve">Директор департаменту фінансів </t>
  </si>
  <si>
    <t>Наталія Луценко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</si>
</sst>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5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4"/>
      <name val="Times New Roman Cyr"/>
      <charset val="204"/>
    </font>
    <font>
      <i/>
      <sz val="14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  <font>
      <sz val="24"/>
      <name val="Times New Roman Cyr"/>
      <family val="1"/>
      <charset val="204"/>
    </font>
    <font>
      <b/>
      <sz val="22"/>
      <name val="Times New Roman Cyr"/>
      <charset val="204"/>
    </font>
    <font>
      <b/>
      <sz val="22"/>
      <name val="Times New Roman"/>
      <family val="1"/>
      <charset val="204"/>
    </font>
    <font>
      <sz val="2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46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6" fillId="0" borderId="0"/>
    <xf numFmtId="0" fontId="48" fillId="0" borderId="0"/>
    <xf numFmtId="0" fontId="1" fillId="0" borderId="0"/>
    <xf numFmtId="0" fontId="36" fillId="0" borderId="0"/>
    <xf numFmtId="0" fontId="36" fillId="0" borderId="0"/>
    <xf numFmtId="0" fontId="47" fillId="0" borderId="0"/>
  </cellStyleXfs>
  <cellXfs count="210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19" fillId="0" borderId="0" xfId="2" applyFont="1" applyFill="1"/>
    <xf numFmtId="0" fontId="3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49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0" fontId="3" fillId="0" borderId="0" xfId="3" applyFont="1" applyFill="1" applyBorder="1"/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0" fontId="42" fillId="0" borderId="1" xfId="3" applyNumberFormat="1" applyFont="1" applyFill="1" applyBorder="1" applyAlignment="1">
      <alignment horizontal="left" vertical="center" wrapText="1" shrinkToFit="1"/>
    </xf>
    <xf numFmtId="0" fontId="39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3" fillId="2" borderId="1" xfId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 wrapText="1"/>
    </xf>
    <xf numFmtId="165" fontId="44" fillId="2" borderId="1" xfId="1" applyNumberFormat="1" applyFont="1" applyFill="1" applyBorder="1" applyAlignment="1">
      <alignment horizontal="center" vertical="center" wrapText="1"/>
    </xf>
    <xf numFmtId="166" fontId="44" fillId="2" borderId="1" xfId="1" applyNumberFormat="1" applyFont="1" applyFill="1" applyBorder="1" applyAlignment="1">
      <alignment horizontal="center" vertical="center" wrapText="1"/>
    </xf>
    <xf numFmtId="166" fontId="44" fillId="2" borderId="1" xfId="3" applyNumberFormat="1" applyFont="1" applyFill="1" applyBorder="1" applyAlignment="1">
      <alignment horizontal="center" vertical="center"/>
    </xf>
    <xf numFmtId="164" fontId="44" fillId="2" borderId="1" xfId="3" applyNumberFormat="1" applyFont="1" applyFill="1" applyBorder="1" applyAlignment="1">
      <alignment horizontal="center" vertical="center"/>
    </xf>
    <xf numFmtId="166" fontId="43" fillId="2" borderId="0" xfId="1" applyNumberFormat="1" applyFont="1" applyFill="1" applyBorder="1"/>
    <xf numFmtId="0" fontId="43" fillId="2" borderId="0" xfId="1" applyFont="1" applyFill="1" applyBorder="1"/>
    <xf numFmtId="49" fontId="44" fillId="2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 wrapText="1"/>
    </xf>
    <xf numFmtId="49" fontId="44" fillId="0" borderId="1" xfId="1" applyNumberFormat="1" applyFont="1" applyFill="1" applyBorder="1" applyAlignment="1">
      <alignment horizontal="center" vertical="center" wrapText="1"/>
    </xf>
    <xf numFmtId="166" fontId="44" fillId="0" borderId="1" xfId="1" applyNumberFormat="1" applyFont="1" applyFill="1" applyBorder="1" applyAlignment="1">
      <alignment horizontal="center" vertical="center" wrapText="1"/>
    </xf>
    <xf numFmtId="166" fontId="44" fillId="0" borderId="1" xfId="3" applyNumberFormat="1" applyFont="1" applyFill="1" applyBorder="1" applyAlignment="1">
      <alignment horizontal="center" vertical="center"/>
    </xf>
    <xf numFmtId="164" fontId="44" fillId="0" borderId="1" xfId="3" applyNumberFormat="1" applyFont="1" applyFill="1" applyBorder="1" applyAlignment="1">
      <alignment horizontal="center" vertical="center"/>
    </xf>
    <xf numFmtId="0" fontId="43" fillId="0" borderId="0" xfId="1" applyFont="1" applyFill="1" applyBorder="1"/>
    <xf numFmtId="0" fontId="43" fillId="2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45" fillId="0" borderId="1" xfId="1" applyNumberFormat="1" applyFont="1" applyFill="1" applyBorder="1" applyAlignment="1">
      <alignment horizontal="center" vertical="center"/>
    </xf>
    <xf numFmtId="49" fontId="40" fillId="0" borderId="1" xfId="1" applyNumberFormat="1" applyFont="1" applyFill="1" applyBorder="1" applyAlignment="1">
      <alignment horizontal="center" vertical="center" wrapText="1"/>
    </xf>
    <xf numFmtId="0" fontId="45" fillId="0" borderId="0" xfId="1" applyFont="1" applyFill="1" applyBorder="1"/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164" fontId="27" fillId="0" borderId="0" xfId="3" applyNumberFormat="1" applyFont="1" applyFill="1" applyBorder="1"/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8" fontId="39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40" fillId="0" borderId="1" xfId="3" applyNumberFormat="1" applyFont="1" applyFill="1" applyBorder="1" applyAlignment="1">
      <alignment horizontal="center" vertical="center" wrapText="1"/>
    </xf>
    <xf numFmtId="164" fontId="40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0" fontId="37" fillId="0" borderId="1" xfId="3" applyNumberFormat="1" applyFont="1" applyFill="1" applyBorder="1" applyAlignment="1">
      <alignment horizontal="justify" vertical="center" wrapText="1" shrinkToFi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165" fontId="16" fillId="0" borderId="1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2" fontId="34" fillId="0" borderId="1" xfId="1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41" fillId="0" borderId="1" xfId="1" applyFont="1" applyFill="1" applyBorder="1" applyAlignment="1">
      <alignment horizontal="left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37" fillId="0" borderId="1" xfId="1" applyFont="1" applyFill="1" applyBorder="1" applyAlignment="1">
      <alignment horizontal="left" vertical="center" wrapText="1"/>
    </xf>
    <xf numFmtId="0" fontId="31" fillId="0" borderId="1" xfId="3" applyFont="1" applyFill="1" applyBorder="1" applyAlignment="1">
      <alignment horizontal="left" vertical="center" wrapText="1"/>
    </xf>
    <xf numFmtId="49" fontId="42" fillId="0" borderId="1" xfId="3" applyNumberFormat="1" applyFont="1" applyFill="1" applyBorder="1" applyAlignment="1">
      <alignment horizontal="left" vertical="center" wrapText="1"/>
    </xf>
    <xf numFmtId="0" fontId="49" fillId="0" borderId="1" xfId="2" applyFont="1" applyFill="1" applyBorder="1" applyAlignment="1">
      <alignment horizontal="left" vertical="center" wrapText="1"/>
    </xf>
    <xf numFmtId="0" fontId="50" fillId="0" borderId="1" xfId="3" applyFont="1" applyFill="1" applyBorder="1" applyAlignment="1">
      <alignment horizontal="left" vertical="center" wrapText="1"/>
    </xf>
    <xf numFmtId="0" fontId="31" fillId="0" borderId="1" xfId="2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50" fillId="0" borderId="1" xfId="3" applyNumberFormat="1" applyFont="1" applyFill="1" applyBorder="1" applyAlignment="1">
      <alignment horizontal="left" vertical="center" wrapText="1"/>
    </xf>
    <xf numFmtId="49" fontId="42" fillId="0" borderId="1" xfId="2" applyNumberFormat="1" applyFont="1" applyFill="1" applyBorder="1" applyAlignment="1">
      <alignment horizontal="left" vertical="center" wrapText="1"/>
    </xf>
    <xf numFmtId="0" fontId="42" fillId="0" borderId="1" xfId="2" applyNumberFormat="1" applyFont="1" applyFill="1" applyBorder="1" applyAlignment="1">
      <alignment horizontal="left" vertical="center" wrapText="1"/>
    </xf>
    <xf numFmtId="0" fontId="51" fillId="0" borderId="1" xfId="1" applyFont="1" applyFill="1" applyBorder="1" applyAlignment="1">
      <alignment horizontal="left" vertical="center" wrapText="1"/>
    </xf>
    <xf numFmtId="0" fontId="51" fillId="0" borderId="1" xfId="3" applyNumberFormat="1" applyFont="1" applyFill="1" applyBorder="1" applyAlignment="1">
      <alignment horizontal="justify" vertical="center" wrapText="1" shrinkToFit="1"/>
    </xf>
    <xf numFmtId="0" fontId="53" fillId="0" borderId="1" xfId="3" applyNumberFormat="1" applyFont="1" applyFill="1" applyBorder="1" applyAlignment="1">
      <alignment horizontal="left" vertical="center" wrapText="1" shrinkToFit="1"/>
    </xf>
    <xf numFmtId="0" fontId="52" fillId="0" borderId="1" xfId="3" applyNumberFormat="1" applyFont="1" applyFill="1" applyBorder="1" applyAlignment="1">
      <alignment horizontal="justify" vertical="center" wrapText="1" shrinkToFit="1"/>
    </xf>
    <xf numFmtId="49" fontId="17" fillId="0" borderId="0" xfId="2" applyNumberFormat="1" applyFont="1" applyFill="1" applyBorder="1" applyAlignment="1">
      <alignment horizontal="center" vertical="center" wrapText="1"/>
    </xf>
    <xf numFmtId="49" fontId="24" fillId="0" borderId="2" xfId="3" applyNumberFormat="1" applyFont="1" applyFill="1" applyBorder="1" applyAlignment="1">
      <alignment horizontal="center" vertical="center" wrapText="1"/>
    </xf>
    <xf numFmtId="49" fontId="24" fillId="0" borderId="3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49" fontId="21" fillId="0" borderId="5" xfId="3" applyNumberFormat="1" applyFont="1" applyFill="1" applyBorder="1" applyAlignment="1">
      <alignment horizontal="center" vertical="center" wrapText="1"/>
    </xf>
    <xf numFmtId="49" fontId="21" fillId="0" borderId="0" xfId="3" applyNumberFormat="1" applyFont="1" applyFill="1" applyBorder="1" applyAlignment="1">
      <alignment horizontal="center" vertical="center" wrapText="1"/>
    </xf>
    <xf numFmtId="49" fontId="21" fillId="0" borderId="6" xfId="3" applyNumberFormat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textRotation="90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2" applyFont="1" applyFill="1"/>
    <xf numFmtId="0" fontId="54" fillId="0" borderId="0" xfId="2" applyFont="1" applyFill="1" applyBorder="1" applyAlignment="1">
      <alignment horizontal="center" vertical="center" wrapText="1"/>
    </xf>
    <xf numFmtId="0" fontId="54" fillId="0" borderId="0" xfId="2" applyFont="1" applyFill="1" applyBorder="1"/>
    <xf numFmtId="0" fontId="55" fillId="0" borderId="0" xfId="2" applyFont="1" applyFill="1"/>
    <xf numFmtId="166" fontId="56" fillId="0" borderId="0" xfId="1" applyNumberFormat="1" applyFont="1" applyFill="1" applyBorder="1" applyAlignment="1">
      <alignment horizontal="center" vertical="center" wrapText="1"/>
    </xf>
    <xf numFmtId="166" fontId="56" fillId="0" borderId="0" xfId="3" applyNumberFormat="1" applyFont="1" applyFill="1" applyBorder="1" applyAlignment="1">
      <alignment horizontal="center" vertical="center"/>
    </xf>
    <xf numFmtId="0" fontId="57" fillId="0" borderId="0" xfId="2" applyFont="1" applyFill="1" applyBorder="1" applyAlignment="1">
      <alignment horizontal="center" vertical="center" wrapText="1"/>
    </xf>
    <xf numFmtId="164" fontId="56" fillId="0" borderId="0" xfId="3" applyNumberFormat="1" applyFont="1" applyFill="1" applyBorder="1" applyAlignment="1">
      <alignment horizontal="center" vertical="center"/>
    </xf>
    <xf numFmtId="0" fontId="57" fillId="0" borderId="0" xfId="2" applyFont="1" applyFill="1" applyBorder="1"/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9"/>
  <sheetViews>
    <sheetView showGridLines="0" tabSelected="1" view="pageBreakPreview" zoomScale="70" zoomScaleNormal="75" zoomScaleSheetLayoutView="70" workbookViewId="0">
      <pane ySplit="5" topLeftCell="A114" activePane="bottomLeft" state="frozen"/>
      <selection pane="bottomLeft" activeCell="B116" sqref="B116"/>
    </sheetView>
  </sheetViews>
  <sheetFormatPr defaultColWidth="9.140625" defaultRowHeight="12.75" x14ac:dyDescent="0.2"/>
  <cols>
    <col min="1" max="1" width="12.28515625" style="17" customWidth="1"/>
    <col min="2" max="2" width="99.28515625" style="17" customWidth="1"/>
    <col min="3" max="3" width="16.140625" style="17" customWidth="1"/>
    <col min="4" max="4" width="24.85546875" style="17" bestFit="1" customWidth="1"/>
    <col min="5" max="5" width="24.140625" style="17" customWidth="1"/>
    <col min="6" max="6" width="24.140625" style="149" customWidth="1"/>
    <col min="7" max="16" width="21.28515625" style="149" hidden="1" customWidth="1"/>
    <col min="17" max="17" width="14.85546875" style="1" customWidth="1"/>
    <col min="18" max="18" width="24.140625" style="149" customWidth="1"/>
    <col min="19" max="19" width="22.28515625" style="1" customWidth="1"/>
    <col min="20" max="20" width="14" style="1" customWidth="1"/>
    <col min="21" max="21" width="24.140625" style="1" hidden="1" customWidth="1"/>
    <col min="22" max="22" width="22.5703125" style="1" hidden="1" customWidth="1"/>
    <col min="23" max="23" width="10.140625" style="1" hidden="1" customWidth="1"/>
    <col min="24" max="24" width="0" hidden="1" customWidth="1"/>
    <col min="25" max="25" width="24.140625" style="149" customWidth="1"/>
    <col min="26" max="26" width="21.28515625" style="1" customWidth="1"/>
    <col min="27" max="27" width="12.5703125" style="149" customWidth="1"/>
    <col min="28" max="28" width="24.140625" style="149" hidden="1" customWidth="1"/>
    <col min="29" max="29" width="20.42578125" style="149" hidden="1" customWidth="1"/>
    <col min="30" max="30" width="15.85546875" style="149" hidden="1" customWidth="1"/>
    <col min="31" max="31" width="12.28515625" style="149" hidden="1" customWidth="1"/>
    <col min="32" max="32" width="21.28515625" style="149" hidden="1" customWidth="1"/>
    <col min="33" max="33" width="0" style="149" hidden="1" customWidth="1"/>
    <col min="34" max="34" width="15.140625" style="149" hidden="1" customWidth="1"/>
    <col min="35" max="36" width="0" style="149" hidden="1" customWidth="1"/>
    <col min="37" max="16384" width="9.140625" style="149"/>
  </cols>
  <sheetData>
    <row r="1" spans="1:42" ht="30" customHeight="1" x14ac:dyDescent="0.2">
      <c r="A1" s="183" t="s">
        <v>207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</row>
    <row r="2" spans="1:42" ht="18.75" x14ac:dyDescent="0.3">
      <c r="A2" s="18" t="s">
        <v>48</v>
      </c>
      <c r="B2" s="150"/>
      <c r="C2" s="150"/>
      <c r="D2" s="76"/>
      <c r="E2" s="150"/>
      <c r="F2" s="76"/>
      <c r="G2" s="150"/>
      <c r="H2" s="150"/>
      <c r="I2" s="150"/>
      <c r="J2" s="150"/>
      <c r="K2" s="150"/>
      <c r="L2" s="150"/>
      <c r="M2" s="150"/>
      <c r="N2" s="150"/>
      <c r="O2" s="150"/>
      <c r="P2" s="150"/>
      <c r="R2" s="76"/>
      <c r="Y2" s="76"/>
      <c r="Z2" s="3" t="s">
        <v>13</v>
      </c>
      <c r="AA2" s="3"/>
    </row>
    <row r="3" spans="1:42" s="50" customFormat="1" ht="15" customHeight="1" x14ac:dyDescent="0.25">
      <c r="A3" s="196" t="s">
        <v>0</v>
      </c>
      <c r="B3" s="200" t="s">
        <v>1</v>
      </c>
      <c r="C3" s="200" t="s">
        <v>2</v>
      </c>
      <c r="D3" s="194" t="s">
        <v>136</v>
      </c>
      <c r="E3" s="194" t="s">
        <v>137</v>
      </c>
      <c r="F3" s="194" t="s">
        <v>189</v>
      </c>
      <c r="G3" s="194" t="s">
        <v>64</v>
      </c>
      <c r="H3" s="194" t="s">
        <v>151</v>
      </c>
      <c r="I3" s="194" t="s">
        <v>159</v>
      </c>
      <c r="J3" s="194" t="s">
        <v>166</v>
      </c>
      <c r="K3" s="194" t="s">
        <v>169</v>
      </c>
      <c r="L3" s="194" t="s">
        <v>170</v>
      </c>
      <c r="M3" s="194" t="s">
        <v>173</v>
      </c>
      <c r="N3" s="194" t="s">
        <v>182</v>
      </c>
      <c r="O3" s="194" t="s">
        <v>183</v>
      </c>
      <c r="P3" s="194" t="s">
        <v>205</v>
      </c>
      <c r="Q3" s="195" t="s">
        <v>196</v>
      </c>
      <c r="R3" s="194" t="s">
        <v>190</v>
      </c>
      <c r="S3" s="194" t="s">
        <v>191</v>
      </c>
      <c r="T3" s="194" t="s">
        <v>3</v>
      </c>
      <c r="U3" s="194" t="s">
        <v>192</v>
      </c>
      <c r="V3" s="194" t="s">
        <v>193</v>
      </c>
      <c r="W3" s="194" t="s">
        <v>3</v>
      </c>
      <c r="Y3" s="194" t="s">
        <v>194</v>
      </c>
      <c r="Z3" s="194" t="s">
        <v>195</v>
      </c>
      <c r="AA3" s="194" t="s">
        <v>3</v>
      </c>
    </row>
    <row r="4" spans="1:42" s="50" customFormat="1" ht="98.25" customHeight="1" x14ac:dyDescent="0.25">
      <c r="A4" s="196"/>
      <c r="B4" s="200"/>
      <c r="C4" s="200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5"/>
      <c r="R4" s="194"/>
      <c r="S4" s="194"/>
      <c r="T4" s="194"/>
      <c r="U4" s="194"/>
      <c r="V4" s="194"/>
      <c r="W4" s="194"/>
      <c r="Y4" s="194"/>
      <c r="Z4" s="194"/>
      <c r="AA4" s="194"/>
    </row>
    <row r="5" spans="1:42" s="53" customFormat="1" ht="20.25" x14ac:dyDescent="0.2">
      <c r="A5" s="51" t="s">
        <v>4</v>
      </c>
      <c r="B5" s="132" t="s">
        <v>5</v>
      </c>
      <c r="C5" s="132">
        <f>B5+1</f>
        <v>3</v>
      </c>
      <c r="D5" s="132">
        <f t="shared" ref="D5:L5" si="0">C5+1</f>
        <v>4</v>
      </c>
      <c r="E5" s="132">
        <f t="shared" si="0"/>
        <v>5</v>
      </c>
      <c r="F5" s="132">
        <f t="shared" si="0"/>
        <v>6</v>
      </c>
      <c r="G5" s="132">
        <f t="shared" si="0"/>
        <v>7</v>
      </c>
      <c r="H5" s="132">
        <f t="shared" si="0"/>
        <v>8</v>
      </c>
      <c r="I5" s="132">
        <f t="shared" si="0"/>
        <v>9</v>
      </c>
      <c r="J5" s="132">
        <f t="shared" si="0"/>
        <v>10</v>
      </c>
      <c r="K5" s="132">
        <f t="shared" si="0"/>
        <v>11</v>
      </c>
      <c r="L5" s="132">
        <f t="shared" si="0"/>
        <v>12</v>
      </c>
      <c r="M5" s="132">
        <f t="shared" ref="M5" si="1">L5+1</f>
        <v>13</v>
      </c>
      <c r="N5" s="132">
        <f t="shared" ref="N5" si="2">M5+1</f>
        <v>14</v>
      </c>
      <c r="O5" s="132">
        <f t="shared" ref="O5" si="3">N5+1</f>
        <v>15</v>
      </c>
      <c r="P5" s="132">
        <f t="shared" ref="P5" si="4">O5+1</f>
        <v>16</v>
      </c>
      <c r="Q5" s="132">
        <v>7</v>
      </c>
      <c r="R5" s="132">
        <v>8</v>
      </c>
      <c r="S5" s="132">
        <f t="shared" ref="S5" si="5">R5+1</f>
        <v>9</v>
      </c>
      <c r="T5" s="132">
        <f t="shared" ref="T5" si="6">S5+1</f>
        <v>10</v>
      </c>
      <c r="U5" s="132">
        <f t="shared" ref="U5" si="7">T5+1</f>
        <v>11</v>
      </c>
      <c r="V5" s="132">
        <f t="shared" ref="V5" si="8">U5+1</f>
        <v>12</v>
      </c>
      <c r="W5" s="132">
        <f t="shared" ref="W5" si="9">V5+1</f>
        <v>13</v>
      </c>
      <c r="X5" s="132">
        <f t="shared" ref="X5" si="10">W5+1</f>
        <v>14</v>
      </c>
      <c r="Y5" s="132">
        <v>11</v>
      </c>
      <c r="Z5" s="132">
        <f t="shared" ref="Z5" si="11">Y5+1</f>
        <v>12</v>
      </c>
      <c r="AA5" s="132">
        <f t="shared" ref="AA5" si="12">Z5+1</f>
        <v>13</v>
      </c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</row>
    <row r="6" spans="1:42" s="54" customFormat="1" ht="26.25" customHeight="1" x14ac:dyDescent="0.2">
      <c r="A6" s="184" t="s">
        <v>6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6"/>
    </row>
    <row r="7" spans="1:42" s="135" customFormat="1" ht="29.25" customHeight="1" x14ac:dyDescent="0.25">
      <c r="A7" s="133">
        <v>1</v>
      </c>
      <c r="B7" s="170" t="s">
        <v>66</v>
      </c>
      <c r="C7" s="134" t="s">
        <v>14</v>
      </c>
      <c r="D7" s="138">
        <v>2398057.0789999999</v>
      </c>
      <c r="E7" s="138">
        <v>2398057.0789999999</v>
      </c>
      <c r="F7" s="138">
        <f t="shared" ref="F7:F13" si="13">SUM(G7:P7)</f>
        <v>1905609.6460000004</v>
      </c>
      <c r="G7" s="138">
        <v>146999.421</v>
      </c>
      <c r="H7" s="138">
        <v>179706.05300000001</v>
      </c>
      <c r="I7" s="138">
        <v>188112.742</v>
      </c>
      <c r="J7" s="138">
        <v>196904.038</v>
      </c>
      <c r="K7" s="138">
        <v>184793.12400000001</v>
      </c>
      <c r="L7" s="138">
        <v>216858.70499999999</v>
      </c>
      <c r="M7" s="138">
        <v>196563.59700000001</v>
      </c>
      <c r="N7" s="138">
        <v>190260.019</v>
      </c>
      <c r="O7" s="138">
        <v>197766.72500000001</v>
      </c>
      <c r="P7" s="138">
        <v>207645.22200000001</v>
      </c>
      <c r="Q7" s="141">
        <f t="shared" ref="Q7:Q23" si="14">F7/E7*100</f>
        <v>79.464732624072809</v>
      </c>
      <c r="R7" s="139">
        <v>1763402.632</v>
      </c>
      <c r="S7" s="140">
        <f t="shared" ref="S7:S38" si="15">F7-R7</f>
        <v>142207.01400000043</v>
      </c>
      <c r="T7" s="141">
        <f t="shared" ref="T7:T23" si="16">F7/R7*100</f>
        <v>108.06435305354589</v>
      </c>
      <c r="U7" s="140">
        <f>E7/12*10</f>
        <v>1998380.8991666664</v>
      </c>
      <c r="V7" s="140">
        <f t="shared" ref="V7:V38" si="17">F7-U7</f>
        <v>-92771.253166666022</v>
      </c>
      <c r="W7" s="141">
        <f t="shared" ref="W7:W23" si="18">F7/U7*100</f>
        <v>95.357679148887371</v>
      </c>
      <c r="Y7" s="138">
        <v>1570102.2960000003</v>
      </c>
      <c r="Z7" s="140">
        <f t="shared" ref="Z7:Z38" si="19">F7-Y7</f>
        <v>335507.35000000009</v>
      </c>
      <c r="AA7" s="141">
        <f>F7/Y7*100</f>
        <v>121.36850260360362</v>
      </c>
      <c r="AB7" s="55"/>
      <c r="AC7" s="55"/>
      <c r="AD7" s="55">
        <f>AB7-AC7</f>
        <v>0</v>
      </c>
      <c r="AE7" s="56" t="e">
        <f>AB7/AC7*100</f>
        <v>#DIV/0!</v>
      </c>
    </row>
    <row r="8" spans="1:42" s="135" customFormat="1" ht="30" customHeight="1" x14ac:dyDescent="0.25">
      <c r="A8" s="133">
        <f>A7+1</f>
        <v>2</v>
      </c>
      <c r="B8" s="170" t="s">
        <v>35</v>
      </c>
      <c r="C8" s="134" t="s">
        <v>16</v>
      </c>
      <c r="D8" s="138">
        <v>1100</v>
      </c>
      <c r="E8" s="138">
        <v>1100</v>
      </c>
      <c r="F8" s="138">
        <f t="shared" si="13"/>
        <v>787.23100000000011</v>
      </c>
      <c r="G8" s="138">
        <v>70</v>
      </c>
      <c r="H8" s="138">
        <v>377.19400000000002</v>
      </c>
      <c r="I8" s="138">
        <v>102.018</v>
      </c>
      <c r="J8" s="138">
        <v>56.6</v>
      </c>
      <c r="K8" s="138">
        <v>69.45</v>
      </c>
      <c r="L8" s="138">
        <v>0</v>
      </c>
      <c r="M8" s="138">
        <v>23.594999999999999</v>
      </c>
      <c r="N8" s="138">
        <v>88.373999999999995</v>
      </c>
      <c r="O8" s="138">
        <v>0</v>
      </c>
      <c r="P8" s="138">
        <v>0</v>
      </c>
      <c r="Q8" s="141">
        <f t="shared" si="14"/>
        <v>71.566454545454548</v>
      </c>
      <c r="R8" s="139">
        <v>787</v>
      </c>
      <c r="S8" s="140">
        <f t="shared" si="15"/>
        <v>0.23100000000010823</v>
      </c>
      <c r="T8" s="141">
        <f t="shared" si="16"/>
        <v>100.02935196950446</v>
      </c>
      <c r="U8" s="140">
        <f t="shared" ref="U8:U46" si="20">E8/12*10</f>
        <v>916.66666666666674</v>
      </c>
      <c r="V8" s="140">
        <f t="shared" si="17"/>
        <v>-129.43566666666663</v>
      </c>
      <c r="W8" s="141">
        <f t="shared" si="18"/>
        <v>85.879745454545457</v>
      </c>
      <c r="Y8" s="138">
        <v>998.23599999999999</v>
      </c>
      <c r="Z8" s="140">
        <f t="shared" si="19"/>
        <v>-211.00499999999988</v>
      </c>
      <c r="AA8" s="141">
        <f>F8/Y8*100</f>
        <v>78.862212943632585</v>
      </c>
      <c r="AB8" s="55"/>
      <c r="AC8" s="55"/>
      <c r="AD8" s="55">
        <f>Y7/0.5</f>
        <v>3140204.5920000006</v>
      </c>
      <c r="AE8" s="56">
        <f>AC8/AD8*100</f>
        <v>0</v>
      </c>
    </row>
    <row r="9" spans="1:42" s="135" customFormat="1" ht="23.25" x14ac:dyDescent="0.25">
      <c r="A9" s="133">
        <v>3</v>
      </c>
      <c r="B9" s="170" t="s">
        <v>109</v>
      </c>
      <c r="C9" s="134" t="s">
        <v>110</v>
      </c>
      <c r="D9" s="138">
        <f>SUM(D11:D13)</f>
        <v>506.88</v>
      </c>
      <c r="E9" s="138">
        <f>SUM(E10:E13)</f>
        <v>515.38</v>
      </c>
      <c r="F9" s="138">
        <f t="shared" si="13"/>
        <v>343.161</v>
      </c>
      <c r="G9" s="138">
        <f t="shared" ref="G9:R9" si="21">SUM(G10:G13)</f>
        <v>0.54200000000000004</v>
      </c>
      <c r="H9" s="138">
        <f t="shared" si="21"/>
        <v>122.20099999999999</v>
      </c>
      <c r="I9" s="138">
        <f t="shared" si="21"/>
        <v>2.044</v>
      </c>
      <c r="J9" s="138">
        <f t="shared" si="21"/>
        <v>2.8140000000000001</v>
      </c>
      <c r="K9" s="138">
        <f t="shared" ref="K9:O9" si="22">SUM(K10:K13)</f>
        <v>85.728000000000009</v>
      </c>
      <c r="L9" s="138">
        <f t="shared" si="22"/>
        <v>0</v>
      </c>
      <c r="M9" s="138">
        <f t="shared" si="22"/>
        <v>47.101999999999997</v>
      </c>
      <c r="N9" s="138">
        <f t="shared" si="22"/>
        <v>81.548000000000002</v>
      </c>
      <c r="O9" s="138">
        <f t="shared" si="22"/>
        <v>8.6999999999999994E-2</v>
      </c>
      <c r="P9" s="138">
        <f t="shared" si="21"/>
        <v>1.095</v>
      </c>
      <c r="Q9" s="141">
        <f t="shared" si="14"/>
        <v>66.58407388722884</v>
      </c>
      <c r="R9" s="139">
        <f t="shared" si="21"/>
        <v>341.92499999999995</v>
      </c>
      <c r="S9" s="140">
        <f t="shared" si="15"/>
        <v>1.2360000000000468</v>
      </c>
      <c r="T9" s="141">
        <f t="shared" si="16"/>
        <v>100.36148278131169</v>
      </c>
      <c r="U9" s="140">
        <f t="shared" si="20"/>
        <v>429.48333333333329</v>
      </c>
      <c r="V9" s="140">
        <f t="shared" si="17"/>
        <v>-86.32233333333329</v>
      </c>
      <c r="W9" s="141">
        <f t="shared" si="18"/>
        <v>79.900888664674625</v>
      </c>
      <c r="Y9" s="138">
        <f>SUM(Y10:Y13)</f>
        <v>335.70699999999999</v>
      </c>
      <c r="Z9" s="140">
        <f t="shared" si="19"/>
        <v>7.4540000000000077</v>
      </c>
      <c r="AA9" s="141">
        <f>F9/Y9*100</f>
        <v>102.22038861268905</v>
      </c>
      <c r="AB9" s="55"/>
      <c r="AC9" s="55"/>
      <c r="AD9" s="55"/>
      <c r="AE9" s="56"/>
    </row>
    <row r="10" spans="1:42" s="60" customFormat="1" ht="37.5" x14ac:dyDescent="0.25">
      <c r="A10" s="57" t="s">
        <v>111</v>
      </c>
      <c r="B10" s="171" t="s">
        <v>153</v>
      </c>
      <c r="C10" s="49" t="s">
        <v>152</v>
      </c>
      <c r="D10" s="142">
        <v>0</v>
      </c>
      <c r="E10" s="142">
        <f>8.5+14</f>
        <v>22.5</v>
      </c>
      <c r="F10" s="142">
        <f t="shared" si="13"/>
        <v>17.615000000000002</v>
      </c>
      <c r="G10" s="142">
        <v>0</v>
      </c>
      <c r="H10" s="142">
        <v>8.5120000000000005</v>
      </c>
      <c r="I10" s="142">
        <v>0</v>
      </c>
      <c r="J10" s="142">
        <v>0</v>
      </c>
      <c r="K10" s="142">
        <v>4.5519999999999996</v>
      </c>
      <c r="L10" s="142">
        <v>0</v>
      </c>
      <c r="M10" s="142">
        <v>0</v>
      </c>
      <c r="N10" s="142">
        <v>4.5510000000000002</v>
      </c>
      <c r="O10" s="142">
        <v>0</v>
      </c>
      <c r="P10" s="142">
        <v>0</v>
      </c>
      <c r="Q10" s="143">
        <f t="shared" si="14"/>
        <v>78.288888888888891</v>
      </c>
      <c r="R10" s="91">
        <v>17.600000000000001</v>
      </c>
      <c r="S10" s="92">
        <f t="shared" si="15"/>
        <v>1.5000000000000568E-2</v>
      </c>
      <c r="T10" s="143">
        <f t="shared" si="16"/>
        <v>100.08522727272728</v>
      </c>
      <c r="U10" s="92">
        <f t="shared" si="20"/>
        <v>18.75</v>
      </c>
      <c r="V10" s="92">
        <f t="shared" si="17"/>
        <v>-1.134999999999998</v>
      </c>
      <c r="W10" s="143">
        <f t="shared" si="18"/>
        <v>93.946666666666673</v>
      </c>
      <c r="Y10" s="142">
        <v>0</v>
      </c>
      <c r="Z10" s="92">
        <f t="shared" si="19"/>
        <v>17.615000000000002</v>
      </c>
      <c r="AA10" s="143"/>
    </row>
    <row r="11" spans="1:42" s="60" customFormat="1" ht="56.25" x14ac:dyDescent="0.25">
      <c r="A11" s="57" t="s">
        <v>112</v>
      </c>
      <c r="B11" s="171" t="s">
        <v>103</v>
      </c>
      <c r="C11" s="49" t="s">
        <v>104</v>
      </c>
      <c r="D11" s="142">
        <v>166.79</v>
      </c>
      <c r="E11" s="142">
        <v>166.79</v>
      </c>
      <c r="F11" s="142">
        <f t="shared" si="13"/>
        <v>115.65200000000002</v>
      </c>
      <c r="G11" s="142">
        <v>0</v>
      </c>
      <c r="H11" s="142">
        <v>53.468000000000004</v>
      </c>
      <c r="I11" s="142">
        <v>0</v>
      </c>
      <c r="J11" s="142">
        <v>0</v>
      </c>
      <c r="K11" s="142">
        <v>14.064</v>
      </c>
      <c r="L11" s="142">
        <v>0</v>
      </c>
      <c r="M11" s="142">
        <v>45.820999999999998</v>
      </c>
      <c r="N11" s="142">
        <v>2.2989999999999999</v>
      </c>
      <c r="O11" s="142">
        <v>0</v>
      </c>
      <c r="P11" s="142">
        <v>0</v>
      </c>
      <c r="Q11" s="143">
        <f t="shared" si="14"/>
        <v>69.339888482522952</v>
      </c>
      <c r="R11" s="91">
        <v>115.5</v>
      </c>
      <c r="S11" s="92">
        <f t="shared" si="15"/>
        <v>0.15200000000001523</v>
      </c>
      <c r="T11" s="143">
        <f t="shared" si="16"/>
        <v>100.13160173160173</v>
      </c>
      <c r="U11" s="92">
        <f t="shared" si="20"/>
        <v>138.99166666666667</v>
      </c>
      <c r="V11" s="92">
        <f t="shared" si="17"/>
        <v>-23.339666666666659</v>
      </c>
      <c r="W11" s="143">
        <f t="shared" si="18"/>
        <v>83.207866179027519</v>
      </c>
      <c r="Y11" s="142">
        <v>80.099999999999994</v>
      </c>
      <c r="Z11" s="92">
        <f t="shared" si="19"/>
        <v>35.552000000000021</v>
      </c>
      <c r="AA11" s="143">
        <f t="shared" ref="AA11:AA18" si="23">F11/Y11*100</f>
        <v>144.3845193508115</v>
      </c>
    </row>
    <row r="12" spans="1:42" s="60" customFormat="1" ht="37.5" x14ac:dyDescent="0.25">
      <c r="A12" s="57" t="s">
        <v>113</v>
      </c>
      <c r="B12" s="171" t="s">
        <v>140</v>
      </c>
      <c r="C12" s="49" t="s">
        <v>108</v>
      </c>
      <c r="D12" s="142">
        <v>82.45</v>
      </c>
      <c r="E12" s="142">
        <v>82.45</v>
      </c>
      <c r="F12" s="142">
        <f t="shared" si="13"/>
        <v>57.292000000000009</v>
      </c>
      <c r="G12" s="142">
        <v>0.54200000000000004</v>
      </c>
      <c r="H12" s="142">
        <v>16.193000000000001</v>
      </c>
      <c r="I12" s="142">
        <v>4.4999999999999998E-2</v>
      </c>
      <c r="J12" s="142">
        <v>2.8140000000000001</v>
      </c>
      <c r="K12" s="142">
        <v>12.21</v>
      </c>
      <c r="L12" s="142">
        <v>0</v>
      </c>
      <c r="M12" s="142">
        <v>1.2809999999999999</v>
      </c>
      <c r="N12" s="142">
        <v>23.024999999999999</v>
      </c>
      <c r="O12" s="142">
        <v>8.6999999999999994E-2</v>
      </c>
      <c r="P12" s="142">
        <v>1.095</v>
      </c>
      <c r="Q12" s="143">
        <f t="shared" si="14"/>
        <v>69.486961795027298</v>
      </c>
      <c r="R12" s="91">
        <v>56.924999999999997</v>
      </c>
      <c r="S12" s="92">
        <f t="shared" si="15"/>
        <v>0.36700000000001154</v>
      </c>
      <c r="T12" s="143">
        <f t="shared" si="16"/>
        <v>100.6447079490558</v>
      </c>
      <c r="U12" s="92">
        <f t="shared" si="20"/>
        <v>68.708333333333343</v>
      </c>
      <c r="V12" s="92">
        <f t="shared" si="17"/>
        <v>-11.416333333333334</v>
      </c>
      <c r="W12" s="143">
        <f t="shared" si="18"/>
        <v>83.384354154032749</v>
      </c>
      <c r="Y12" s="142">
        <v>57.772999999999996</v>
      </c>
      <c r="Z12" s="92">
        <f t="shared" si="19"/>
        <v>-0.48099999999998744</v>
      </c>
      <c r="AA12" s="143">
        <f t="shared" si="23"/>
        <v>99.167431152960745</v>
      </c>
    </row>
    <row r="13" spans="1:42" s="60" customFormat="1" ht="37.5" x14ac:dyDescent="0.25">
      <c r="A13" s="57" t="s">
        <v>154</v>
      </c>
      <c r="B13" s="171" t="s">
        <v>139</v>
      </c>
      <c r="C13" s="49" t="s">
        <v>138</v>
      </c>
      <c r="D13" s="142">
        <v>257.64</v>
      </c>
      <c r="E13" s="142">
        <f>257.64-14</f>
        <v>243.64</v>
      </c>
      <c r="F13" s="142">
        <f t="shared" si="13"/>
        <v>152.602</v>
      </c>
      <c r="G13" s="142">
        <v>0</v>
      </c>
      <c r="H13" s="142">
        <v>44.027999999999999</v>
      </c>
      <c r="I13" s="142">
        <v>1.9990000000000001</v>
      </c>
      <c r="J13" s="142">
        <v>0</v>
      </c>
      <c r="K13" s="142">
        <v>54.902000000000001</v>
      </c>
      <c r="L13" s="142">
        <v>0</v>
      </c>
      <c r="M13" s="142">
        <v>0</v>
      </c>
      <c r="N13" s="142">
        <v>51.673000000000002</v>
      </c>
      <c r="O13" s="142">
        <v>0</v>
      </c>
      <c r="P13" s="142">
        <v>0</v>
      </c>
      <c r="Q13" s="143">
        <f t="shared" si="14"/>
        <v>62.634214414710229</v>
      </c>
      <c r="R13" s="91">
        <v>151.9</v>
      </c>
      <c r="S13" s="92">
        <f t="shared" si="15"/>
        <v>0.70199999999999818</v>
      </c>
      <c r="T13" s="143">
        <f t="shared" si="16"/>
        <v>100.46214614878208</v>
      </c>
      <c r="U13" s="92">
        <f t="shared" si="20"/>
        <v>203.0333333333333</v>
      </c>
      <c r="V13" s="92">
        <f t="shared" si="17"/>
        <v>-50.431333333333299</v>
      </c>
      <c r="W13" s="143">
        <f t="shared" si="18"/>
        <v>75.161057297652292</v>
      </c>
      <c r="Y13" s="142">
        <v>197.834</v>
      </c>
      <c r="Z13" s="92">
        <f t="shared" si="19"/>
        <v>-45.231999999999999</v>
      </c>
      <c r="AA13" s="143">
        <f t="shared" si="23"/>
        <v>77.13638707198966</v>
      </c>
    </row>
    <row r="14" spans="1:42" s="135" customFormat="1" ht="23.25" x14ac:dyDescent="0.25">
      <c r="A14" s="133">
        <v>4</v>
      </c>
      <c r="B14" s="172" t="s">
        <v>90</v>
      </c>
      <c r="C14" s="77" t="s">
        <v>89</v>
      </c>
      <c r="D14" s="138">
        <f>SUM(D15:D17)</f>
        <v>247766</v>
      </c>
      <c r="E14" s="138">
        <f>SUM(E15:E17)</f>
        <v>247766</v>
      </c>
      <c r="F14" s="138">
        <f t="shared" ref="F14:F84" si="24">SUM(G14:P14)</f>
        <v>216928.99399999998</v>
      </c>
      <c r="G14" s="138">
        <f t="shared" ref="G14:R14" si="25">SUM(G15:G17)</f>
        <v>9113.7909999999993</v>
      </c>
      <c r="H14" s="138">
        <f t="shared" ref="H14:O14" si="26">SUM(H15:H17)</f>
        <v>6708.6930000000002</v>
      </c>
      <c r="I14" s="138">
        <f t="shared" si="26"/>
        <v>36301.611000000004</v>
      </c>
      <c r="J14" s="138">
        <f t="shared" si="26"/>
        <v>18813.798999999999</v>
      </c>
      <c r="K14" s="138">
        <f t="shared" si="26"/>
        <v>19997.205999999998</v>
      </c>
      <c r="L14" s="138">
        <f t="shared" si="26"/>
        <v>20472.231999999996</v>
      </c>
      <c r="M14" s="138">
        <f t="shared" si="26"/>
        <v>12117.133</v>
      </c>
      <c r="N14" s="138">
        <f t="shared" si="26"/>
        <v>13721.071</v>
      </c>
      <c r="O14" s="138">
        <f t="shared" si="26"/>
        <v>18065.900000000001</v>
      </c>
      <c r="P14" s="138">
        <f t="shared" si="25"/>
        <v>61617.557999999997</v>
      </c>
      <c r="Q14" s="141">
        <f t="shared" si="14"/>
        <v>87.553979964966928</v>
      </c>
      <c r="R14" s="139">
        <f t="shared" si="25"/>
        <v>212381.326</v>
      </c>
      <c r="S14" s="140">
        <f t="shared" si="15"/>
        <v>4547.667999999976</v>
      </c>
      <c r="T14" s="141">
        <f t="shared" si="16"/>
        <v>102.1412748877931</v>
      </c>
      <c r="U14" s="140">
        <f t="shared" si="20"/>
        <v>206471.66666666669</v>
      </c>
      <c r="V14" s="140">
        <f t="shared" si="17"/>
        <v>10457.327333333291</v>
      </c>
      <c r="W14" s="141">
        <f t="shared" si="18"/>
        <v>105.06477595796031</v>
      </c>
      <c r="Y14" s="138">
        <f t="shared" ref="Y14" si="27">SUM(Y15:Y17)</f>
        <v>192759.76300000001</v>
      </c>
      <c r="Z14" s="140">
        <f t="shared" si="19"/>
        <v>24169.230999999971</v>
      </c>
      <c r="AA14" s="141">
        <f t="shared" si="23"/>
        <v>112.53852496176806</v>
      </c>
    </row>
    <row r="15" spans="1:42" s="60" customFormat="1" ht="37.5" x14ac:dyDescent="0.25">
      <c r="A15" s="57" t="s">
        <v>126</v>
      </c>
      <c r="B15" s="171" t="s">
        <v>96</v>
      </c>
      <c r="C15" s="49" t="s">
        <v>87</v>
      </c>
      <c r="D15" s="142">
        <v>25500</v>
      </c>
      <c r="E15" s="142">
        <v>25500</v>
      </c>
      <c r="F15" s="142">
        <f>SUM(G15:P15)</f>
        <v>25667.237999999998</v>
      </c>
      <c r="G15" s="142">
        <v>0</v>
      </c>
      <c r="H15" s="142">
        <v>0</v>
      </c>
      <c r="I15" s="142">
        <v>6236.9179999999997</v>
      </c>
      <c r="J15" s="142">
        <v>2120.248</v>
      </c>
      <c r="K15" s="142">
        <v>2421.9479999999999</v>
      </c>
      <c r="L15" s="142">
        <v>2577.42</v>
      </c>
      <c r="M15" s="142">
        <v>0</v>
      </c>
      <c r="N15" s="142">
        <v>0</v>
      </c>
      <c r="O15" s="142">
        <v>0</v>
      </c>
      <c r="P15" s="142">
        <v>12310.704</v>
      </c>
      <c r="Q15" s="143">
        <f t="shared" si="14"/>
        <v>100.65583529411764</v>
      </c>
      <c r="R15" s="91">
        <v>25081.439999999999</v>
      </c>
      <c r="S15" s="92">
        <f t="shared" si="15"/>
        <v>585.79799999999886</v>
      </c>
      <c r="T15" s="143">
        <f t="shared" si="16"/>
        <v>102.33558360285532</v>
      </c>
      <c r="U15" s="92">
        <f t="shared" si="20"/>
        <v>21250</v>
      </c>
      <c r="V15" s="92">
        <f t="shared" si="17"/>
        <v>4417.2379999999976</v>
      </c>
      <c r="W15" s="143">
        <f t="shared" si="18"/>
        <v>120.78700235294117</v>
      </c>
      <c r="Y15" s="142">
        <v>19889.322</v>
      </c>
      <c r="Z15" s="92">
        <f t="shared" si="19"/>
        <v>5777.9159999999974</v>
      </c>
      <c r="AA15" s="143">
        <f t="shared" si="23"/>
        <v>129.05034168585533</v>
      </c>
      <c r="AB15" s="58">
        <f>Y15+Y16</f>
        <v>89968.469000000012</v>
      </c>
      <c r="AC15" s="58">
        <f>F15+F16</f>
        <v>109290.751</v>
      </c>
    </row>
    <row r="16" spans="1:42" s="60" customFormat="1" ht="37.5" x14ac:dyDescent="0.25">
      <c r="A16" s="57" t="s">
        <v>127</v>
      </c>
      <c r="B16" s="171" t="s">
        <v>97</v>
      </c>
      <c r="C16" s="49" t="s">
        <v>88</v>
      </c>
      <c r="D16" s="142">
        <v>87500</v>
      </c>
      <c r="E16" s="142">
        <v>87500</v>
      </c>
      <c r="F16" s="142">
        <f t="shared" si="24"/>
        <v>83623.513000000006</v>
      </c>
      <c r="G16" s="142">
        <v>0</v>
      </c>
      <c r="H16" s="142">
        <v>0</v>
      </c>
      <c r="I16" s="142">
        <v>21013.128000000001</v>
      </c>
      <c r="J16" s="142">
        <v>8063.9430000000002</v>
      </c>
      <c r="K16" s="142">
        <v>8167.2610000000004</v>
      </c>
      <c r="L16" s="142">
        <v>8116.9859999999999</v>
      </c>
      <c r="M16" s="142">
        <v>0</v>
      </c>
      <c r="N16" s="142">
        <v>0</v>
      </c>
      <c r="O16" s="142">
        <v>0</v>
      </c>
      <c r="P16" s="142">
        <v>38262.195</v>
      </c>
      <c r="Q16" s="143">
        <f t="shared" si="14"/>
        <v>95.569729142857156</v>
      </c>
      <c r="R16" s="91">
        <v>82325</v>
      </c>
      <c r="S16" s="92">
        <f t="shared" si="15"/>
        <v>1298.5130000000063</v>
      </c>
      <c r="T16" s="143">
        <f t="shared" si="16"/>
        <v>101.57730094139083</v>
      </c>
      <c r="U16" s="92">
        <f t="shared" si="20"/>
        <v>72916.666666666672</v>
      </c>
      <c r="V16" s="92">
        <f t="shared" si="17"/>
        <v>10706.846333333335</v>
      </c>
      <c r="W16" s="143">
        <f t="shared" si="18"/>
        <v>114.68367497142857</v>
      </c>
      <c r="Y16" s="142">
        <v>70079.147000000012</v>
      </c>
      <c r="Z16" s="92">
        <f t="shared" si="19"/>
        <v>13544.365999999995</v>
      </c>
      <c r="AA16" s="143">
        <f t="shared" si="23"/>
        <v>119.32724152592782</v>
      </c>
    </row>
    <row r="17" spans="1:30" s="60" customFormat="1" ht="37.5" x14ac:dyDescent="0.25">
      <c r="A17" s="57" t="s">
        <v>128</v>
      </c>
      <c r="B17" s="171" t="s">
        <v>98</v>
      </c>
      <c r="C17" s="49" t="s">
        <v>57</v>
      </c>
      <c r="D17" s="142">
        <v>134766</v>
      </c>
      <c r="E17" s="142">
        <v>134766</v>
      </c>
      <c r="F17" s="142">
        <f t="shared" si="24"/>
        <v>107638.243</v>
      </c>
      <c r="G17" s="142">
        <v>9113.7909999999993</v>
      </c>
      <c r="H17" s="142">
        <v>6708.6930000000002</v>
      </c>
      <c r="I17" s="142">
        <v>9051.5650000000005</v>
      </c>
      <c r="J17" s="142">
        <v>8629.6080000000002</v>
      </c>
      <c r="K17" s="142">
        <v>9407.9969999999994</v>
      </c>
      <c r="L17" s="142">
        <v>9777.8259999999991</v>
      </c>
      <c r="M17" s="142">
        <v>12117.133</v>
      </c>
      <c r="N17" s="142">
        <v>13721.071</v>
      </c>
      <c r="O17" s="142">
        <v>18065.900000000001</v>
      </c>
      <c r="P17" s="142">
        <v>11044.659</v>
      </c>
      <c r="Q17" s="143">
        <f t="shared" si="14"/>
        <v>79.870474006796968</v>
      </c>
      <c r="R17" s="91">
        <v>104974.886</v>
      </c>
      <c r="S17" s="92">
        <f t="shared" si="15"/>
        <v>2663.3570000000036</v>
      </c>
      <c r="T17" s="143">
        <f t="shared" si="16"/>
        <v>102.53713731110888</v>
      </c>
      <c r="U17" s="92">
        <f t="shared" si="20"/>
        <v>112305</v>
      </c>
      <c r="V17" s="92">
        <f t="shared" si="17"/>
        <v>-4666.7569999999978</v>
      </c>
      <c r="W17" s="143">
        <f t="shared" si="18"/>
        <v>95.844568808156367</v>
      </c>
      <c r="Y17" s="142">
        <v>102791.29399999999</v>
      </c>
      <c r="Z17" s="92">
        <f t="shared" si="19"/>
        <v>4846.9490000000078</v>
      </c>
      <c r="AA17" s="143">
        <f t="shared" si="23"/>
        <v>104.71533026911794</v>
      </c>
    </row>
    <row r="18" spans="1:30" s="81" customFormat="1" ht="37.5" x14ac:dyDescent="0.25">
      <c r="A18" s="133">
        <v>5</v>
      </c>
      <c r="B18" s="170" t="s">
        <v>141</v>
      </c>
      <c r="C18" s="134" t="s">
        <v>37</v>
      </c>
      <c r="D18" s="138">
        <f>D19+D20+D21+D23+D22</f>
        <v>1024661.45</v>
      </c>
      <c r="E18" s="138">
        <f>E19+E20+E21+E23+E22</f>
        <v>1024140.45</v>
      </c>
      <c r="F18" s="138">
        <f t="shared" si="24"/>
        <v>806957.25599999994</v>
      </c>
      <c r="G18" s="138">
        <f t="shared" ref="G18:R18" si="28">G19+G20+G21+G23+G22</f>
        <v>75712.956999999995</v>
      </c>
      <c r="H18" s="138">
        <f t="shared" ref="H18:O18" si="29">H19+H20+H21+H23+H22</f>
        <v>111045.806</v>
      </c>
      <c r="I18" s="138">
        <f t="shared" si="29"/>
        <v>44534.228999999999</v>
      </c>
      <c r="J18" s="138">
        <f t="shared" si="29"/>
        <v>86744.623999999996</v>
      </c>
      <c r="K18" s="138">
        <f t="shared" si="29"/>
        <v>95406.558000000005</v>
      </c>
      <c r="L18" s="138">
        <f t="shared" si="29"/>
        <v>48319.159</v>
      </c>
      <c r="M18" s="138">
        <f t="shared" si="29"/>
        <v>105793.67499999999</v>
      </c>
      <c r="N18" s="138">
        <f t="shared" si="29"/>
        <v>96725.224999999991</v>
      </c>
      <c r="O18" s="138">
        <f t="shared" si="29"/>
        <v>45178.220999999998</v>
      </c>
      <c r="P18" s="138">
        <f t="shared" si="28"/>
        <v>97496.802000000011</v>
      </c>
      <c r="Q18" s="141">
        <f t="shared" si="14"/>
        <v>78.793612340963577</v>
      </c>
      <c r="R18" s="139">
        <f t="shared" si="28"/>
        <v>791838.36700000009</v>
      </c>
      <c r="S18" s="140">
        <f t="shared" si="15"/>
        <v>15118.88899999985</v>
      </c>
      <c r="T18" s="141">
        <f t="shared" si="16"/>
        <v>101.90934029343389</v>
      </c>
      <c r="U18" s="140">
        <f t="shared" si="20"/>
        <v>853450.37499999988</v>
      </c>
      <c r="V18" s="140">
        <f t="shared" si="17"/>
        <v>-46493.118999999948</v>
      </c>
      <c r="W18" s="141">
        <f t="shared" si="18"/>
        <v>94.552334809156307</v>
      </c>
      <c r="Y18" s="138">
        <f>Y19+Y20+Y21+Y23+Y22</f>
        <v>700855.429</v>
      </c>
      <c r="Z18" s="140">
        <f t="shared" si="19"/>
        <v>106101.82699999993</v>
      </c>
      <c r="AA18" s="141">
        <f t="shared" si="23"/>
        <v>115.13890348989506</v>
      </c>
      <c r="AB18" s="99">
        <f>Y20+Y21+Y19</f>
        <v>250482.13</v>
      </c>
      <c r="AC18" s="99">
        <f>F19+F20+F21</f>
        <v>285386.18599999999</v>
      </c>
    </row>
    <row r="19" spans="1:30" s="83" customFormat="1" ht="23.25" x14ac:dyDescent="0.25">
      <c r="A19" s="82" t="s">
        <v>143</v>
      </c>
      <c r="B19" s="173" t="s">
        <v>58</v>
      </c>
      <c r="C19" s="197" t="s">
        <v>43</v>
      </c>
      <c r="D19" s="142">
        <f>1213.85+13965.32+18822.08+58666</f>
        <v>92667.25</v>
      </c>
      <c r="E19" s="142">
        <v>92667.25</v>
      </c>
      <c r="F19" s="142">
        <f t="shared" si="24"/>
        <v>90684.623999999996</v>
      </c>
      <c r="G19" s="142">
        <v>9723.7669999999998</v>
      </c>
      <c r="H19" s="142">
        <v>3035.268</v>
      </c>
      <c r="I19" s="142">
        <v>4604.7759999999998</v>
      </c>
      <c r="J19" s="142">
        <v>15771.471</v>
      </c>
      <c r="K19" s="142">
        <v>6016.8990000000003</v>
      </c>
      <c r="L19" s="142">
        <v>6114.5559999999996</v>
      </c>
      <c r="M19" s="142">
        <v>18065.420999999998</v>
      </c>
      <c r="N19" s="142">
        <v>6654.8249999999998</v>
      </c>
      <c r="O19" s="142">
        <v>4877.9009999999998</v>
      </c>
      <c r="P19" s="142">
        <v>15819.74</v>
      </c>
      <c r="Q19" s="143">
        <f t="shared" si="14"/>
        <v>97.860489007713085</v>
      </c>
      <c r="R19" s="91">
        <v>86072.755000000005</v>
      </c>
      <c r="S19" s="92">
        <f t="shared" si="15"/>
        <v>4611.8689999999915</v>
      </c>
      <c r="T19" s="143">
        <f t="shared" si="16"/>
        <v>105.35810547716289</v>
      </c>
      <c r="U19" s="97">
        <f t="shared" si="20"/>
        <v>77222.708333333328</v>
      </c>
      <c r="V19" s="92">
        <f t="shared" si="17"/>
        <v>13461.915666666668</v>
      </c>
      <c r="W19" s="143">
        <f t="shared" si="18"/>
        <v>117.4325868092557</v>
      </c>
      <c r="Y19" s="142">
        <v>66880.853000000003</v>
      </c>
      <c r="Z19" s="92">
        <f>F19-Y19</f>
        <v>23803.770999999993</v>
      </c>
      <c r="AA19" s="143">
        <f>F19/Y19*100</f>
        <v>135.59130892065625</v>
      </c>
    </row>
    <row r="20" spans="1:30" s="83" customFormat="1" ht="23.25" x14ac:dyDescent="0.25">
      <c r="A20" s="57" t="s">
        <v>144</v>
      </c>
      <c r="B20" s="173" t="s">
        <v>7</v>
      </c>
      <c r="C20" s="197"/>
      <c r="D20" s="142">
        <v>300000</v>
      </c>
      <c r="E20" s="142">
        <f>299591.5-402.5-730</f>
        <v>298459</v>
      </c>
      <c r="F20" s="142">
        <f t="shared" si="24"/>
        <v>193270.86000000002</v>
      </c>
      <c r="G20" s="142">
        <v>15633.511</v>
      </c>
      <c r="H20" s="142">
        <v>21109.749</v>
      </c>
      <c r="I20" s="142">
        <v>19376.571</v>
      </c>
      <c r="J20" s="142">
        <v>19580.672999999999</v>
      </c>
      <c r="K20" s="142">
        <v>20458.473999999998</v>
      </c>
      <c r="L20" s="142">
        <v>21838.977999999999</v>
      </c>
      <c r="M20" s="142">
        <v>21325.975999999999</v>
      </c>
      <c r="N20" s="142">
        <v>18748.224999999999</v>
      </c>
      <c r="O20" s="142">
        <v>17704.473000000002</v>
      </c>
      <c r="P20" s="142">
        <v>17494.23</v>
      </c>
      <c r="Q20" s="143">
        <f t="shared" si="14"/>
        <v>64.756251277394895</v>
      </c>
      <c r="R20" s="91">
        <v>191510.174</v>
      </c>
      <c r="S20" s="92">
        <f t="shared" si="15"/>
        <v>1760.6860000000161</v>
      </c>
      <c r="T20" s="143">
        <f t="shared" si="16"/>
        <v>100.91936943256081</v>
      </c>
      <c r="U20" s="140">
        <f t="shared" si="20"/>
        <v>248715.83333333331</v>
      </c>
      <c r="V20" s="92">
        <f t="shared" si="17"/>
        <v>-55444.973333333299</v>
      </c>
      <c r="W20" s="143">
        <f t="shared" si="18"/>
        <v>77.707501532873877</v>
      </c>
      <c r="Y20" s="142">
        <v>181919.601</v>
      </c>
      <c r="Z20" s="92">
        <f>F20-Y20</f>
        <v>11351.25900000002</v>
      </c>
      <c r="AA20" s="143">
        <f>F20/Y20*100</f>
        <v>106.23971190438132</v>
      </c>
    </row>
    <row r="21" spans="1:30" s="83" customFormat="1" ht="23.25" x14ac:dyDescent="0.25">
      <c r="A21" s="57" t="s">
        <v>145</v>
      </c>
      <c r="B21" s="173" t="s">
        <v>59</v>
      </c>
      <c r="C21" s="197"/>
      <c r="D21" s="142">
        <f>250+225</f>
        <v>475</v>
      </c>
      <c r="E21" s="142">
        <f>865+200+230</f>
        <v>1295</v>
      </c>
      <c r="F21" s="142">
        <f t="shared" si="24"/>
        <v>1430.702</v>
      </c>
      <c r="G21" s="142">
        <v>324.197</v>
      </c>
      <c r="H21" s="142">
        <v>49.052999999999997</v>
      </c>
      <c r="I21" s="142">
        <v>157.625</v>
      </c>
      <c r="J21" s="142">
        <v>242.58</v>
      </c>
      <c r="K21" s="142">
        <v>119.52200000000001</v>
      </c>
      <c r="L21" s="142">
        <v>44.167000000000002</v>
      </c>
      <c r="M21" s="142">
        <v>196.07599999999999</v>
      </c>
      <c r="N21" s="142">
        <v>34.981999999999999</v>
      </c>
      <c r="O21" s="142">
        <v>40.582999999999998</v>
      </c>
      <c r="P21" s="142">
        <v>221.917</v>
      </c>
      <c r="Q21" s="143">
        <f t="shared" si="14"/>
        <v>110.47891891891892</v>
      </c>
      <c r="R21" s="91">
        <v>1251</v>
      </c>
      <c r="S21" s="92">
        <f t="shared" si="15"/>
        <v>179.702</v>
      </c>
      <c r="T21" s="143">
        <f t="shared" si="16"/>
        <v>114.36466826538769</v>
      </c>
      <c r="U21" s="140">
        <f t="shared" si="20"/>
        <v>1079.1666666666667</v>
      </c>
      <c r="V21" s="92">
        <f t="shared" si="17"/>
        <v>351.53533333333326</v>
      </c>
      <c r="W21" s="143">
        <f t="shared" si="18"/>
        <v>132.57470270270269</v>
      </c>
      <c r="Y21" s="142">
        <v>1681.6759999999999</v>
      </c>
      <c r="Z21" s="92">
        <f>F21-Y21</f>
        <v>-250.97399999999993</v>
      </c>
      <c r="AA21" s="143">
        <f>F21/Y21*100</f>
        <v>85.075959935207507</v>
      </c>
      <c r="AB21" s="143">
        <f>100-AA21</f>
        <v>14.924040064792493</v>
      </c>
      <c r="AC21" s="84"/>
      <c r="AD21" s="85" t="e">
        <f>F19/#REF!*100</f>
        <v>#REF!</v>
      </c>
    </row>
    <row r="22" spans="1:30" s="87" customFormat="1" ht="23.25" x14ac:dyDescent="0.25">
      <c r="A22" s="57" t="s">
        <v>146</v>
      </c>
      <c r="B22" s="173" t="s">
        <v>39</v>
      </c>
      <c r="C22" s="86" t="s">
        <v>38</v>
      </c>
      <c r="D22" s="142">
        <v>950</v>
      </c>
      <c r="E22" s="142">
        <f>950+200</f>
        <v>1150</v>
      </c>
      <c r="F22" s="142">
        <f t="shared" si="24"/>
        <v>1244.8020000000001</v>
      </c>
      <c r="G22" s="142">
        <v>59.935000000000002</v>
      </c>
      <c r="H22" s="142">
        <v>134.36000000000001</v>
      </c>
      <c r="I22" s="142">
        <v>29.998000000000001</v>
      </c>
      <c r="J22" s="142">
        <v>85.495000000000005</v>
      </c>
      <c r="K22" s="142">
        <v>203.86</v>
      </c>
      <c r="L22" s="142">
        <v>68.84</v>
      </c>
      <c r="M22" s="142">
        <v>141.779</v>
      </c>
      <c r="N22" s="142">
        <v>260.77800000000002</v>
      </c>
      <c r="O22" s="142">
        <v>101.536</v>
      </c>
      <c r="P22" s="142">
        <v>158.221</v>
      </c>
      <c r="Q22" s="143">
        <f t="shared" si="14"/>
        <v>108.24365217391305</v>
      </c>
      <c r="R22" s="91">
        <v>1150</v>
      </c>
      <c r="S22" s="92">
        <f t="shared" si="15"/>
        <v>94.802000000000135</v>
      </c>
      <c r="T22" s="143">
        <f t="shared" si="16"/>
        <v>108.24365217391305</v>
      </c>
      <c r="U22" s="140">
        <f t="shared" si="20"/>
        <v>958.33333333333326</v>
      </c>
      <c r="V22" s="92">
        <f t="shared" si="17"/>
        <v>286.46866666666688</v>
      </c>
      <c r="W22" s="143">
        <f t="shared" si="18"/>
        <v>129.89238260869567</v>
      </c>
      <c r="Y22" s="142">
        <v>762.01199999999994</v>
      </c>
      <c r="Z22" s="142">
        <f>F22-Y22</f>
        <v>482.79000000000019</v>
      </c>
      <c r="AA22" s="143">
        <f>F22/Y22*100</f>
        <v>163.35726996425257</v>
      </c>
    </row>
    <row r="23" spans="1:30" s="83" customFormat="1" ht="23.25" x14ac:dyDescent="0.25">
      <c r="A23" s="57" t="s">
        <v>147</v>
      </c>
      <c r="B23" s="173" t="s">
        <v>32</v>
      </c>
      <c r="C23" s="157" t="s">
        <v>33</v>
      </c>
      <c r="D23" s="142">
        <v>630569.19999999995</v>
      </c>
      <c r="E23" s="142">
        <v>630569.19999999995</v>
      </c>
      <c r="F23" s="142">
        <f t="shared" si="24"/>
        <v>520326.26800000004</v>
      </c>
      <c r="G23" s="142">
        <v>49971.546999999999</v>
      </c>
      <c r="H23" s="142">
        <v>86717.376000000004</v>
      </c>
      <c r="I23" s="142">
        <v>20365.258999999998</v>
      </c>
      <c r="J23" s="142">
        <v>51064.404999999999</v>
      </c>
      <c r="K23" s="142">
        <v>68607.803</v>
      </c>
      <c r="L23" s="142">
        <v>20252.617999999999</v>
      </c>
      <c r="M23" s="142">
        <v>66064.422999999995</v>
      </c>
      <c r="N23" s="142">
        <v>71026.414999999994</v>
      </c>
      <c r="O23" s="142">
        <v>22453.727999999999</v>
      </c>
      <c r="P23" s="142">
        <v>63802.694000000003</v>
      </c>
      <c r="Q23" s="143">
        <f t="shared" si="14"/>
        <v>82.516917730837477</v>
      </c>
      <c r="R23" s="91">
        <v>511854.43800000002</v>
      </c>
      <c r="S23" s="92">
        <f t="shared" si="15"/>
        <v>8471.8300000000163</v>
      </c>
      <c r="T23" s="143">
        <f t="shared" si="16"/>
        <v>101.65512485016296</v>
      </c>
      <c r="U23" s="140">
        <f t="shared" si="20"/>
        <v>525474.33333333326</v>
      </c>
      <c r="V23" s="92">
        <f t="shared" si="17"/>
        <v>-5148.0653333332157</v>
      </c>
      <c r="W23" s="143">
        <f t="shared" si="18"/>
        <v>99.02030127700499</v>
      </c>
      <c r="Y23" s="142">
        <v>449611.28700000001</v>
      </c>
      <c r="Z23" s="92">
        <f>F23-Y23</f>
        <v>70714.981000000029</v>
      </c>
      <c r="AA23" s="143">
        <f>F23/Y23*100</f>
        <v>115.72802619610394</v>
      </c>
      <c r="AC23" s="84"/>
      <c r="AD23" s="85" t="e">
        <f>F23/#REF!*100</f>
        <v>#REF!</v>
      </c>
    </row>
    <row r="24" spans="1:30" s="81" customFormat="1" ht="23.25" x14ac:dyDescent="0.25">
      <c r="A24" s="133">
        <v>6</v>
      </c>
      <c r="B24" s="170" t="s">
        <v>149</v>
      </c>
      <c r="C24" s="134" t="s">
        <v>150</v>
      </c>
      <c r="D24" s="138"/>
      <c r="E24" s="138"/>
      <c r="F24" s="138">
        <f t="shared" si="24"/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41"/>
      <c r="R24" s="139"/>
      <c r="S24" s="92">
        <f t="shared" si="15"/>
        <v>0</v>
      </c>
      <c r="T24" s="141"/>
      <c r="U24" s="140">
        <f t="shared" si="20"/>
        <v>0</v>
      </c>
      <c r="V24" s="140">
        <f t="shared" si="17"/>
        <v>0</v>
      </c>
      <c r="W24" s="141"/>
      <c r="Y24" s="138">
        <v>-1.8440000000000001</v>
      </c>
      <c r="Z24" s="140">
        <f t="shared" si="19"/>
        <v>1.8440000000000001</v>
      </c>
      <c r="AA24" s="141"/>
      <c r="AC24" s="99"/>
      <c r="AD24" s="123"/>
    </row>
    <row r="25" spans="1:30" s="135" customFormat="1" ht="37.5" x14ac:dyDescent="0.25">
      <c r="A25" s="133">
        <f>A24+1</f>
        <v>7</v>
      </c>
      <c r="B25" s="170" t="s">
        <v>46</v>
      </c>
      <c r="C25" s="134" t="s">
        <v>17</v>
      </c>
      <c r="D25" s="138">
        <v>450</v>
      </c>
      <c r="E25" s="138">
        <f>450+280</f>
        <v>730</v>
      </c>
      <c r="F25" s="138">
        <f t="shared" si="24"/>
        <v>610.952</v>
      </c>
      <c r="G25" s="138">
        <v>10</v>
      </c>
      <c r="H25" s="138">
        <v>63.488</v>
      </c>
      <c r="I25" s="138">
        <v>19.899000000000001</v>
      </c>
      <c r="J25" s="138">
        <v>46.183</v>
      </c>
      <c r="K25" s="138">
        <v>83.956999999999994</v>
      </c>
      <c r="L25" s="138">
        <v>0</v>
      </c>
      <c r="M25" s="138">
        <v>23.704000000000001</v>
      </c>
      <c r="N25" s="138">
        <v>356.82100000000003</v>
      </c>
      <c r="O25" s="138">
        <v>6</v>
      </c>
      <c r="P25" s="138">
        <v>0.9</v>
      </c>
      <c r="Q25" s="141">
        <f t="shared" ref="Q25:Q42" si="30">F25/E25*100</f>
        <v>83.692054794520544</v>
      </c>
      <c r="R25" s="139">
        <v>609</v>
      </c>
      <c r="S25" s="140">
        <f t="shared" si="15"/>
        <v>1.9519999999999982</v>
      </c>
      <c r="T25" s="141">
        <f>F25/R25*100</f>
        <v>100.32052545155994</v>
      </c>
      <c r="U25" s="140">
        <f t="shared" si="20"/>
        <v>608.33333333333337</v>
      </c>
      <c r="V25" s="140">
        <f t="shared" si="17"/>
        <v>2.618666666666627</v>
      </c>
      <c r="W25" s="141">
        <f t="shared" ref="W25:W42" si="31">F25/U25*100</f>
        <v>100.43046575342464</v>
      </c>
      <c r="Y25" s="138">
        <v>430.51400000000001</v>
      </c>
      <c r="Z25" s="140">
        <f t="shared" si="19"/>
        <v>180.43799999999999</v>
      </c>
      <c r="AA25" s="141">
        <f>F25/Y25*100</f>
        <v>141.91222585095954</v>
      </c>
      <c r="AB25" s="56">
        <f>100-AA25</f>
        <v>-41.912225850959544</v>
      </c>
    </row>
    <row r="26" spans="1:30" s="135" customFormat="1" ht="23.25" x14ac:dyDescent="0.25">
      <c r="A26" s="133">
        <f t="shared" ref="A26:A33" si="32">A25+1</f>
        <v>8</v>
      </c>
      <c r="B26" s="170" t="s">
        <v>71</v>
      </c>
      <c r="C26" s="134" t="s">
        <v>70</v>
      </c>
      <c r="D26" s="138">
        <v>12000</v>
      </c>
      <c r="E26" s="138">
        <v>12000</v>
      </c>
      <c r="F26" s="138">
        <f t="shared" si="24"/>
        <v>14201.043000000001</v>
      </c>
      <c r="G26" s="138">
        <v>432.791</v>
      </c>
      <c r="H26" s="138">
        <v>1371.345</v>
      </c>
      <c r="I26" s="138">
        <v>1459.3430000000001</v>
      </c>
      <c r="J26" s="138">
        <v>1608.9</v>
      </c>
      <c r="K26" s="138">
        <v>1657.4580000000001</v>
      </c>
      <c r="L26" s="138">
        <v>1243.4580000000001</v>
      </c>
      <c r="M26" s="138">
        <v>1327.6010000000001</v>
      </c>
      <c r="N26" s="138">
        <v>1662.588</v>
      </c>
      <c r="O26" s="138">
        <v>1645.6469999999999</v>
      </c>
      <c r="P26" s="138">
        <v>1791.912</v>
      </c>
      <c r="Q26" s="141">
        <f t="shared" si="30"/>
        <v>118.34202500000002</v>
      </c>
      <c r="R26" s="139">
        <v>12000</v>
      </c>
      <c r="S26" s="140">
        <f t="shared" si="15"/>
        <v>2201.0430000000015</v>
      </c>
      <c r="T26" s="141">
        <f>F26/R26*100</f>
        <v>118.34202500000002</v>
      </c>
      <c r="U26" s="140">
        <f t="shared" si="20"/>
        <v>10000</v>
      </c>
      <c r="V26" s="140">
        <f t="shared" si="17"/>
        <v>4201.0430000000015</v>
      </c>
      <c r="W26" s="141">
        <f t="shared" si="31"/>
        <v>142.01043000000001</v>
      </c>
      <c r="Y26" s="138">
        <v>29306.430999999997</v>
      </c>
      <c r="Z26" s="140">
        <f t="shared" si="19"/>
        <v>-15105.387999999995</v>
      </c>
      <c r="AA26" s="141">
        <f>F26/Y26*100</f>
        <v>48.457087797555431</v>
      </c>
    </row>
    <row r="27" spans="1:30" s="135" customFormat="1" ht="23.25" x14ac:dyDescent="0.25">
      <c r="A27" s="133">
        <f t="shared" si="32"/>
        <v>9</v>
      </c>
      <c r="B27" s="170" t="s">
        <v>8</v>
      </c>
      <c r="C27" s="134" t="s">
        <v>18</v>
      </c>
      <c r="D27" s="138">
        <v>5.5</v>
      </c>
      <c r="E27" s="138">
        <f>5.5+2.5</f>
        <v>8</v>
      </c>
      <c r="F27" s="138">
        <f t="shared" si="24"/>
        <v>6.0410000000000004</v>
      </c>
      <c r="G27" s="138">
        <v>0</v>
      </c>
      <c r="H27" s="138">
        <v>0.38100000000000001</v>
      </c>
      <c r="I27" s="138">
        <v>0</v>
      </c>
      <c r="J27" s="138">
        <v>0</v>
      </c>
      <c r="K27" s="138">
        <v>5.66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41">
        <f t="shared" si="30"/>
        <v>75.512500000000003</v>
      </c>
      <c r="R27" s="139">
        <v>6</v>
      </c>
      <c r="S27" s="140">
        <f t="shared" si="15"/>
        <v>4.1000000000000369E-2</v>
      </c>
      <c r="T27" s="141">
        <f>F27/R27*100</f>
        <v>100.68333333333335</v>
      </c>
      <c r="U27" s="140">
        <f t="shared" si="20"/>
        <v>6.6666666666666661</v>
      </c>
      <c r="V27" s="140">
        <f t="shared" si="17"/>
        <v>-0.62566666666666571</v>
      </c>
      <c r="W27" s="141">
        <f t="shared" si="31"/>
        <v>90.615000000000009</v>
      </c>
      <c r="Y27" s="138">
        <v>5.4390000000000001</v>
      </c>
      <c r="Z27" s="140">
        <f t="shared" si="19"/>
        <v>0.60200000000000031</v>
      </c>
      <c r="AA27" s="141">
        <f>F27/Y27*100</f>
        <v>111.06821106821107</v>
      </c>
    </row>
    <row r="28" spans="1:30" s="135" customFormat="1" ht="56.25" x14ac:dyDescent="0.25">
      <c r="A28" s="133">
        <f t="shared" si="32"/>
        <v>10</v>
      </c>
      <c r="B28" s="174" t="s">
        <v>92</v>
      </c>
      <c r="C28" s="78" t="s">
        <v>93</v>
      </c>
      <c r="D28" s="138">
        <v>4.5</v>
      </c>
      <c r="E28" s="138">
        <v>4.5</v>
      </c>
      <c r="F28" s="138">
        <f t="shared" si="24"/>
        <v>3.0000000000000001E-3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3.0000000000000001E-3</v>
      </c>
      <c r="Q28" s="141">
        <f t="shared" si="30"/>
        <v>6.6666666666666666E-2</v>
      </c>
      <c r="R28" s="139">
        <v>3.0000000000000001E-3</v>
      </c>
      <c r="S28" s="140">
        <f t="shared" si="15"/>
        <v>0</v>
      </c>
      <c r="T28" s="141">
        <f>F28/R28*100</f>
        <v>100</v>
      </c>
      <c r="U28" s="140">
        <f t="shared" si="20"/>
        <v>3.75</v>
      </c>
      <c r="V28" s="140">
        <f t="shared" si="17"/>
        <v>-3.7469999999999999</v>
      </c>
      <c r="W28" s="141">
        <f t="shared" si="31"/>
        <v>0.08</v>
      </c>
      <c r="Y28" s="138">
        <v>4.4080000000000004</v>
      </c>
      <c r="Z28" s="140">
        <f t="shared" si="19"/>
        <v>-4.4050000000000002</v>
      </c>
      <c r="AA28" s="141"/>
    </row>
    <row r="29" spans="1:30" s="135" customFormat="1" ht="23.25" x14ac:dyDescent="0.25">
      <c r="A29" s="133">
        <f t="shared" si="32"/>
        <v>11</v>
      </c>
      <c r="B29" s="175" t="s">
        <v>29</v>
      </c>
      <c r="C29" s="134" t="s">
        <v>24</v>
      </c>
      <c r="D29" s="138">
        <v>8804.73</v>
      </c>
      <c r="E29" s="138">
        <v>8804.73</v>
      </c>
      <c r="F29" s="138">
        <f t="shared" si="24"/>
        <v>11118.273999999998</v>
      </c>
      <c r="G29" s="138">
        <v>497.94799999999998</v>
      </c>
      <c r="H29" s="138">
        <v>694.71400000000006</v>
      </c>
      <c r="I29" s="138">
        <v>893.96699999999998</v>
      </c>
      <c r="J29" s="138">
        <v>1137.1980000000001</v>
      </c>
      <c r="K29" s="138">
        <v>904.77499999999998</v>
      </c>
      <c r="L29" s="138">
        <v>1296.52</v>
      </c>
      <c r="M29" s="138">
        <v>1252.164</v>
      </c>
      <c r="N29" s="138">
        <v>1440.2760000000001</v>
      </c>
      <c r="O29" s="138">
        <v>1612.7239999999999</v>
      </c>
      <c r="P29" s="138">
        <v>1387.9880000000001</v>
      </c>
      <c r="Q29" s="141">
        <f t="shared" si="30"/>
        <v>126.27614929702555</v>
      </c>
      <c r="R29" s="139">
        <v>8804.73</v>
      </c>
      <c r="S29" s="140">
        <f t="shared" si="15"/>
        <v>2313.5439999999981</v>
      </c>
      <c r="T29" s="141">
        <f t="shared" ref="T29:T40" si="33">F29/R29*100</f>
        <v>126.27614929702555</v>
      </c>
      <c r="U29" s="140">
        <f t="shared" si="20"/>
        <v>7337.2749999999996</v>
      </c>
      <c r="V29" s="140">
        <f t="shared" si="17"/>
        <v>3780.998999999998</v>
      </c>
      <c r="W29" s="141">
        <f t="shared" si="31"/>
        <v>151.53137915643066</v>
      </c>
      <c r="Y29" s="138">
        <v>4329.07</v>
      </c>
      <c r="Z29" s="140">
        <f t="shared" si="19"/>
        <v>6789.2039999999979</v>
      </c>
      <c r="AA29" s="141">
        <f>F29/Y29*100</f>
        <v>256.82823331570057</v>
      </c>
      <c r="AB29" s="56">
        <f>100-AA29</f>
        <v>-156.82823331570057</v>
      </c>
    </row>
    <row r="30" spans="1:30" s="135" customFormat="1" ht="37.5" x14ac:dyDescent="0.25">
      <c r="A30" s="133">
        <f t="shared" si="32"/>
        <v>12</v>
      </c>
      <c r="B30" s="175" t="s">
        <v>81</v>
      </c>
      <c r="C30" s="134" t="s">
        <v>80</v>
      </c>
      <c r="D30" s="138">
        <v>410</v>
      </c>
      <c r="E30" s="138">
        <v>410</v>
      </c>
      <c r="F30" s="138">
        <f t="shared" si="24"/>
        <v>452.12</v>
      </c>
      <c r="G30" s="138">
        <v>14.6</v>
      </c>
      <c r="H30" s="138">
        <v>13.6</v>
      </c>
      <c r="I30" s="138">
        <v>25.3</v>
      </c>
      <c r="J30" s="138">
        <v>43.42</v>
      </c>
      <c r="K30" s="138">
        <v>27.8</v>
      </c>
      <c r="L30" s="138">
        <v>70.8</v>
      </c>
      <c r="M30" s="138">
        <v>93.8</v>
      </c>
      <c r="N30" s="138">
        <v>69</v>
      </c>
      <c r="O30" s="138">
        <v>31.8</v>
      </c>
      <c r="P30" s="138">
        <v>62</v>
      </c>
      <c r="Q30" s="141">
        <f t="shared" si="30"/>
        <v>110.27317073170732</v>
      </c>
      <c r="R30" s="139">
        <v>410</v>
      </c>
      <c r="S30" s="140">
        <f t="shared" si="15"/>
        <v>42.120000000000005</v>
      </c>
      <c r="T30" s="141">
        <f t="shared" si="33"/>
        <v>110.27317073170732</v>
      </c>
      <c r="U30" s="140">
        <f t="shared" si="20"/>
        <v>341.66666666666663</v>
      </c>
      <c r="V30" s="140">
        <f t="shared" si="17"/>
        <v>110.45333333333338</v>
      </c>
      <c r="W30" s="141">
        <f t="shared" si="31"/>
        <v>132.32780487804879</v>
      </c>
      <c r="Y30" s="138">
        <v>312.05500000000001</v>
      </c>
      <c r="Z30" s="140">
        <f t="shared" si="19"/>
        <v>140.065</v>
      </c>
      <c r="AA30" s="141">
        <f>F30/Y30*100</f>
        <v>144.88471583534954</v>
      </c>
    </row>
    <row r="31" spans="1:30" s="135" customFormat="1" ht="23.25" x14ac:dyDescent="0.25">
      <c r="A31" s="133">
        <f t="shared" si="32"/>
        <v>13</v>
      </c>
      <c r="B31" s="175" t="s">
        <v>114</v>
      </c>
      <c r="C31" s="134" t="s">
        <v>115</v>
      </c>
      <c r="D31" s="138">
        <v>15000</v>
      </c>
      <c r="E31" s="138">
        <v>15000</v>
      </c>
      <c r="F31" s="138">
        <f t="shared" si="24"/>
        <v>14679.564999999999</v>
      </c>
      <c r="G31" s="138">
        <v>1342.5129999999999</v>
      </c>
      <c r="H31" s="138">
        <v>1648.6120000000001</v>
      </c>
      <c r="I31" s="138">
        <v>1521.1489999999999</v>
      </c>
      <c r="J31" s="138">
        <v>1266.5989999999999</v>
      </c>
      <c r="K31" s="138">
        <v>1452.096</v>
      </c>
      <c r="L31" s="138">
        <v>1385.58</v>
      </c>
      <c r="M31" s="138">
        <v>1432.884</v>
      </c>
      <c r="N31" s="138">
        <v>1586.3889999999999</v>
      </c>
      <c r="O31" s="138">
        <v>1495.251</v>
      </c>
      <c r="P31" s="138">
        <v>1548.492</v>
      </c>
      <c r="Q31" s="141">
        <f t="shared" si="30"/>
        <v>97.863766666666663</v>
      </c>
      <c r="R31" s="139">
        <v>14207</v>
      </c>
      <c r="S31" s="140">
        <f t="shared" si="15"/>
        <v>472.56499999999869</v>
      </c>
      <c r="T31" s="141">
        <f t="shared" si="33"/>
        <v>103.32628281832899</v>
      </c>
      <c r="U31" s="140">
        <f t="shared" si="20"/>
        <v>12500</v>
      </c>
      <c r="V31" s="140">
        <f t="shared" si="17"/>
        <v>2179.5649999999987</v>
      </c>
      <c r="W31" s="141">
        <f t="shared" si="31"/>
        <v>117.43652</v>
      </c>
      <c r="Y31" s="138">
        <v>11846.482</v>
      </c>
      <c r="Z31" s="140">
        <f t="shared" si="19"/>
        <v>2833.0829999999987</v>
      </c>
      <c r="AA31" s="141">
        <f>F31/Y31*100</f>
        <v>123.91497323846859</v>
      </c>
    </row>
    <row r="32" spans="1:30" s="135" customFormat="1" ht="54" customHeight="1" x14ac:dyDescent="0.25">
      <c r="A32" s="133">
        <f t="shared" si="32"/>
        <v>14</v>
      </c>
      <c r="B32" s="175" t="s">
        <v>161</v>
      </c>
      <c r="C32" s="134" t="s">
        <v>160</v>
      </c>
      <c r="D32" s="138">
        <v>0</v>
      </c>
      <c r="E32" s="138">
        <v>30</v>
      </c>
      <c r="F32" s="138">
        <f t="shared" si="24"/>
        <v>26.199999999999996</v>
      </c>
      <c r="G32" s="138">
        <v>0</v>
      </c>
      <c r="H32" s="138">
        <v>0</v>
      </c>
      <c r="I32" s="138">
        <v>3.3180000000000001</v>
      </c>
      <c r="J32" s="138">
        <v>1.0720000000000001</v>
      </c>
      <c r="K32" s="138">
        <v>2.61</v>
      </c>
      <c r="L32" s="138">
        <v>1.2</v>
      </c>
      <c r="M32" s="138">
        <v>7.2</v>
      </c>
      <c r="N32" s="138">
        <v>7.2</v>
      </c>
      <c r="O32" s="138">
        <v>1.2</v>
      </c>
      <c r="P32" s="138">
        <v>2.4</v>
      </c>
      <c r="Q32" s="141">
        <f t="shared" si="30"/>
        <v>87.333333333333314</v>
      </c>
      <c r="R32" s="139">
        <v>26</v>
      </c>
      <c r="S32" s="140">
        <f t="shared" si="15"/>
        <v>0.19999999999999574</v>
      </c>
      <c r="T32" s="141">
        <f t="shared" si="33"/>
        <v>100.76923076923075</v>
      </c>
      <c r="U32" s="140">
        <f t="shared" si="20"/>
        <v>25</v>
      </c>
      <c r="V32" s="140">
        <f t="shared" si="17"/>
        <v>1.1999999999999957</v>
      </c>
      <c r="W32" s="141">
        <f t="shared" si="31"/>
        <v>104.79999999999998</v>
      </c>
      <c r="Y32" s="138">
        <v>0</v>
      </c>
      <c r="Z32" s="140">
        <f t="shared" si="19"/>
        <v>26.199999999999996</v>
      </c>
      <c r="AA32" s="141"/>
    </row>
    <row r="33" spans="1:34" s="135" customFormat="1" ht="23.25" x14ac:dyDescent="0.25">
      <c r="A33" s="133">
        <f t="shared" si="32"/>
        <v>15</v>
      </c>
      <c r="B33" s="175" t="s">
        <v>83</v>
      </c>
      <c r="C33" s="134" t="s">
        <v>82</v>
      </c>
      <c r="D33" s="138">
        <f>SUM(D34:D37)</f>
        <v>27762.799999999999</v>
      </c>
      <c r="E33" s="138">
        <f>SUM(E34:E37)</f>
        <v>27762.799999999999</v>
      </c>
      <c r="F33" s="138">
        <f t="shared" si="24"/>
        <v>27536.461999999996</v>
      </c>
      <c r="G33" s="138">
        <f t="shared" ref="G33:R33" si="34">SUM(G34:G37)</f>
        <v>2016.3869999999997</v>
      </c>
      <c r="H33" s="138">
        <f t="shared" ref="H33:O33" si="35">SUM(H34:H37)</f>
        <v>2147.1390000000001</v>
      </c>
      <c r="I33" s="138">
        <f t="shared" si="35"/>
        <v>2556.277</v>
      </c>
      <c r="J33" s="138">
        <f t="shared" si="35"/>
        <v>2848.3900000000003</v>
      </c>
      <c r="K33" s="138">
        <f t="shared" si="35"/>
        <v>2767.8540000000003</v>
      </c>
      <c r="L33" s="138">
        <f t="shared" si="35"/>
        <v>3005.6840000000002</v>
      </c>
      <c r="M33" s="138">
        <f t="shared" si="35"/>
        <v>3450.6730000000002</v>
      </c>
      <c r="N33" s="138">
        <f t="shared" si="35"/>
        <v>3110.4269999999997</v>
      </c>
      <c r="O33" s="138">
        <f t="shared" si="35"/>
        <v>2951.96</v>
      </c>
      <c r="P33" s="138">
        <f t="shared" si="34"/>
        <v>2681.6709999999998</v>
      </c>
      <c r="Q33" s="141">
        <f t="shared" si="30"/>
        <v>99.184743613756524</v>
      </c>
      <c r="R33" s="139">
        <f t="shared" si="34"/>
        <v>27098.600000000002</v>
      </c>
      <c r="S33" s="140">
        <f t="shared" si="15"/>
        <v>437.86199999999371</v>
      </c>
      <c r="T33" s="141">
        <f t="shared" si="33"/>
        <v>101.61581041086991</v>
      </c>
      <c r="U33" s="140">
        <f t="shared" si="20"/>
        <v>23135.666666666664</v>
      </c>
      <c r="V33" s="140">
        <f t="shared" si="17"/>
        <v>4400.7953333333317</v>
      </c>
      <c r="W33" s="141">
        <f t="shared" si="31"/>
        <v>119.02169233650784</v>
      </c>
      <c r="Y33" s="138">
        <f t="shared" ref="Y33" si="36">SUM(Y34:Y37)</f>
        <v>20772.006000000001</v>
      </c>
      <c r="Z33" s="140">
        <f t="shared" si="19"/>
        <v>6764.4559999999947</v>
      </c>
      <c r="AA33" s="141">
        <f t="shared" ref="AA33:AA39" si="37">F33/Y33*100</f>
        <v>132.5652515216874</v>
      </c>
    </row>
    <row r="34" spans="1:34" s="60" customFormat="1" ht="37.5" x14ac:dyDescent="0.25">
      <c r="A34" s="57" t="s">
        <v>162</v>
      </c>
      <c r="B34" s="176" t="s">
        <v>75</v>
      </c>
      <c r="C34" s="157" t="s">
        <v>74</v>
      </c>
      <c r="D34" s="142">
        <v>1300</v>
      </c>
      <c r="E34" s="142">
        <v>1300</v>
      </c>
      <c r="F34" s="142">
        <f t="shared" si="24"/>
        <v>1228.3240000000001</v>
      </c>
      <c r="G34" s="142">
        <v>91.153999999999996</v>
      </c>
      <c r="H34" s="142">
        <v>123.645</v>
      </c>
      <c r="I34" s="142">
        <v>141.91800000000001</v>
      </c>
      <c r="J34" s="142">
        <v>141.23099999999999</v>
      </c>
      <c r="K34" s="142">
        <v>108.44</v>
      </c>
      <c r="L34" s="142">
        <v>153.00200000000001</v>
      </c>
      <c r="M34" s="142">
        <v>113.806</v>
      </c>
      <c r="N34" s="142">
        <v>151.93</v>
      </c>
      <c r="O34" s="142">
        <v>128.95099999999999</v>
      </c>
      <c r="P34" s="142">
        <v>74.247</v>
      </c>
      <c r="Q34" s="143">
        <f t="shared" si="30"/>
        <v>94.48646153846154</v>
      </c>
      <c r="R34" s="91">
        <v>1216</v>
      </c>
      <c r="S34" s="92">
        <f t="shared" si="15"/>
        <v>12.324000000000069</v>
      </c>
      <c r="T34" s="143">
        <f t="shared" si="33"/>
        <v>101.01348684210527</v>
      </c>
      <c r="U34" s="140">
        <f t="shared" si="20"/>
        <v>1083.3333333333333</v>
      </c>
      <c r="V34" s="92">
        <f t="shared" si="17"/>
        <v>144.99066666666681</v>
      </c>
      <c r="W34" s="143">
        <f t="shared" si="31"/>
        <v>113.38375384615387</v>
      </c>
      <c r="Y34" s="142">
        <v>944.76400000000012</v>
      </c>
      <c r="Z34" s="92">
        <f t="shared" si="19"/>
        <v>283.55999999999995</v>
      </c>
      <c r="AA34" s="143">
        <f t="shared" si="37"/>
        <v>130.01384472736049</v>
      </c>
      <c r="AB34" s="143">
        <f>AA34-100</f>
        <v>30.013844727360492</v>
      </c>
      <c r="AC34" s="58"/>
    </row>
    <row r="35" spans="1:34" s="60" customFormat="1" ht="23.25" x14ac:dyDescent="0.25">
      <c r="A35" s="57" t="s">
        <v>163</v>
      </c>
      <c r="B35" s="177" t="s">
        <v>60</v>
      </c>
      <c r="C35" s="49" t="s">
        <v>61</v>
      </c>
      <c r="D35" s="142">
        <v>24922.799999999999</v>
      </c>
      <c r="E35" s="142">
        <v>24922.799999999999</v>
      </c>
      <c r="F35" s="142">
        <f t="shared" si="24"/>
        <v>25221.091</v>
      </c>
      <c r="G35" s="142">
        <v>1816.0039999999999</v>
      </c>
      <c r="H35" s="142">
        <v>1889.204</v>
      </c>
      <c r="I35" s="142">
        <v>2281.4290000000001</v>
      </c>
      <c r="J35" s="142">
        <v>2605.2289999999998</v>
      </c>
      <c r="K35" s="142">
        <v>2552.5940000000001</v>
      </c>
      <c r="L35" s="142">
        <v>2747.3620000000001</v>
      </c>
      <c r="M35" s="142">
        <v>3191.1350000000002</v>
      </c>
      <c r="N35" s="142">
        <v>2869.6509999999998</v>
      </c>
      <c r="O35" s="142">
        <v>2747.9490000000001</v>
      </c>
      <c r="P35" s="142">
        <v>2520.5340000000001</v>
      </c>
      <c r="Q35" s="143">
        <f t="shared" si="30"/>
        <v>101.19685990338165</v>
      </c>
      <c r="R35" s="91">
        <v>24820.400000000001</v>
      </c>
      <c r="S35" s="92">
        <f t="shared" si="15"/>
        <v>400.69099999999889</v>
      </c>
      <c r="T35" s="143">
        <f t="shared" si="33"/>
        <v>101.61436157354433</v>
      </c>
      <c r="U35" s="140">
        <f t="shared" si="20"/>
        <v>20769</v>
      </c>
      <c r="V35" s="92">
        <f t="shared" si="17"/>
        <v>4452.0910000000003</v>
      </c>
      <c r="W35" s="143">
        <f t="shared" si="31"/>
        <v>121.43623188405796</v>
      </c>
      <c r="Y35" s="142">
        <v>18697.254000000001</v>
      </c>
      <c r="Z35" s="92">
        <f t="shared" si="19"/>
        <v>6523.8369999999995</v>
      </c>
      <c r="AA35" s="143">
        <f t="shared" si="37"/>
        <v>134.89195258298358</v>
      </c>
      <c r="AB35" s="143">
        <f>AA35-100</f>
        <v>34.891952582983578</v>
      </c>
      <c r="AC35" s="59"/>
    </row>
    <row r="36" spans="1:34" s="60" customFormat="1" ht="37.5" x14ac:dyDescent="0.25">
      <c r="A36" s="57" t="s">
        <v>164</v>
      </c>
      <c r="B36" s="177" t="s">
        <v>79</v>
      </c>
      <c r="C36" s="49" t="s">
        <v>76</v>
      </c>
      <c r="D36" s="142">
        <v>1400</v>
      </c>
      <c r="E36" s="142">
        <v>1400</v>
      </c>
      <c r="F36" s="142">
        <f t="shared" si="24"/>
        <v>1014.3469999999998</v>
      </c>
      <c r="G36" s="142">
        <v>106.899</v>
      </c>
      <c r="H36" s="142">
        <v>124.08</v>
      </c>
      <c r="I36" s="142">
        <v>126.35</v>
      </c>
      <c r="J36" s="142">
        <v>100.11</v>
      </c>
      <c r="K36" s="142">
        <v>101.36</v>
      </c>
      <c r="L36" s="142">
        <v>96.92</v>
      </c>
      <c r="M36" s="142">
        <v>134.38200000000001</v>
      </c>
      <c r="N36" s="142">
        <v>72.406000000000006</v>
      </c>
      <c r="O36" s="142">
        <v>72.900000000000006</v>
      </c>
      <c r="P36" s="142">
        <v>78.94</v>
      </c>
      <c r="Q36" s="143">
        <f t="shared" si="30"/>
        <v>72.453357142857129</v>
      </c>
      <c r="R36" s="91">
        <v>997.8</v>
      </c>
      <c r="S36" s="92">
        <f t="shared" si="15"/>
        <v>16.546999999999798</v>
      </c>
      <c r="T36" s="143">
        <f t="shared" si="33"/>
        <v>101.65834836640609</v>
      </c>
      <c r="U36" s="140">
        <f t="shared" si="20"/>
        <v>1166.6666666666667</v>
      </c>
      <c r="V36" s="92">
        <f t="shared" si="17"/>
        <v>-152.31966666666699</v>
      </c>
      <c r="W36" s="143">
        <f t="shared" si="31"/>
        <v>86.944028571428547</v>
      </c>
      <c r="Y36" s="142">
        <v>1026.5239999999999</v>
      </c>
      <c r="Z36" s="92">
        <f t="shared" si="19"/>
        <v>-12.177000000000135</v>
      </c>
      <c r="AA36" s="143">
        <f t="shared" si="37"/>
        <v>98.813763730804141</v>
      </c>
    </row>
    <row r="37" spans="1:34" s="60" customFormat="1" ht="93.75" x14ac:dyDescent="0.25">
      <c r="A37" s="57" t="s">
        <v>165</v>
      </c>
      <c r="B37" s="178" t="s">
        <v>78</v>
      </c>
      <c r="C37" s="49" t="s">
        <v>77</v>
      </c>
      <c r="D37" s="142">
        <v>140</v>
      </c>
      <c r="E37" s="142">
        <v>140</v>
      </c>
      <c r="F37" s="142">
        <f t="shared" si="24"/>
        <v>72.7</v>
      </c>
      <c r="G37" s="142">
        <v>2.33</v>
      </c>
      <c r="H37" s="142">
        <v>10.210000000000001</v>
      </c>
      <c r="I37" s="142">
        <v>6.58</v>
      </c>
      <c r="J37" s="142">
        <v>1.82</v>
      </c>
      <c r="K37" s="142">
        <v>5.46</v>
      </c>
      <c r="L37" s="142">
        <v>8.4</v>
      </c>
      <c r="M37" s="142">
        <v>11.35</v>
      </c>
      <c r="N37" s="142">
        <v>16.440000000000001</v>
      </c>
      <c r="O37" s="142">
        <v>2.16</v>
      </c>
      <c r="P37" s="142">
        <v>7.95</v>
      </c>
      <c r="Q37" s="143">
        <f t="shared" si="30"/>
        <v>51.928571428571438</v>
      </c>
      <c r="R37" s="91">
        <v>64.400000000000006</v>
      </c>
      <c r="S37" s="92">
        <f t="shared" si="15"/>
        <v>8.2999999999999972</v>
      </c>
      <c r="T37" s="143">
        <f t="shared" si="33"/>
        <v>112.88819875776397</v>
      </c>
      <c r="U37" s="140">
        <f t="shared" si="20"/>
        <v>116.66666666666666</v>
      </c>
      <c r="V37" s="92">
        <f t="shared" si="17"/>
        <v>-43.966666666666654</v>
      </c>
      <c r="W37" s="143">
        <f t="shared" si="31"/>
        <v>62.314285714285724</v>
      </c>
      <c r="Y37" s="142">
        <v>103.464</v>
      </c>
      <c r="Z37" s="92">
        <f t="shared" si="19"/>
        <v>-30.763999999999996</v>
      </c>
      <c r="AA37" s="143">
        <f t="shared" si="37"/>
        <v>70.265986236758678</v>
      </c>
    </row>
    <row r="38" spans="1:34" s="135" customFormat="1" ht="37.5" x14ac:dyDescent="0.25">
      <c r="A38" s="133">
        <v>16</v>
      </c>
      <c r="B38" s="174" t="s">
        <v>34</v>
      </c>
      <c r="C38" s="134" t="s">
        <v>19</v>
      </c>
      <c r="D38" s="138">
        <v>12000</v>
      </c>
      <c r="E38" s="138">
        <v>12000</v>
      </c>
      <c r="F38" s="138">
        <f t="shared" si="24"/>
        <v>10175.238000000001</v>
      </c>
      <c r="G38" s="138">
        <v>886.822</v>
      </c>
      <c r="H38" s="138">
        <v>956.88</v>
      </c>
      <c r="I38" s="138">
        <v>1008.902</v>
      </c>
      <c r="J38" s="138">
        <v>874.19399999999996</v>
      </c>
      <c r="K38" s="138">
        <v>1016.393</v>
      </c>
      <c r="L38" s="138">
        <v>1026.453</v>
      </c>
      <c r="M38" s="138">
        <v>1010.407</v>
      </c>
      <c r="N38" s="138">
        <v>854.18</v>
      </c>
      <c r="O38" s="138">
        <v>1384.8119999999999</v>
      </c>
      <c r="P38" s="138">
        <v>1156.1949999999999</v>
      </c>
      <c r="Q38" s="141">
        <f t="shared" si="30"/>
        <v>84.793650000000014</v>
      </c>
      <c r="R38" s="139">
        <v>9650.9</v>
      </c>
      <c r="S38" s="140">
        <f t="shared" si="15"/>
        <v>524.33800000000156</v>
      </c>
      <c r="T38" s="141">
        <f t="shared" si="33"/>
        <v>105.43304769503364</v>
      </c>
      <c r="U38" s="140">
        <f t="shared" si="20"/>
        <v>10000</v>
      </c>
      <c r="V38" s="140">
        <f t="shared" si="17"/>
        <v>175.23800000000119</v>
      </c>
      <c r="W38" s="141">
        <f t="shared" si="31"/>
        <v>101.75238000000002</v>
      </c>
      <c r="Y38" s="138">
        <v>9382.8529999999992</v>
      </c>
      <c r="Z38" s="140">
        <f t="shared" si="19"/>
        <v>792.38500000000204</v>
      </c>
      <c r="AA38" s="141">
        <f t="shared" si="37"/>
        <v>108.44503265691152</v>
      </c>
    </row>
    <row r="39" spans="1:34" s="135" customFormat="1" ht="23.25" x14ac:dyDescent="0.25">
      <c r="A39" s="133">
        <f t="shared" ref="A39:A46" si="38">A38+1</f>
        <v>17</v>
      </c>
      <c r="B39" s="170" t="s">
        <v>54</v>
      </c>
      <c r="C39" s="134" t="s">
        <v>15</v>
      </c>
      <c r="D39" s="138">
        <v>600.5</v>
      </c>
      <c r="E39" s="138">
        <v>600.5</v>
      </c>
      <c r="F39" s="138">
        <f t="shared" si="24"/>
        <v>563.25900000000001</v>
      </c>
      <c r="G39" s="138">
        <v>33.802</v>
      </c>
      <c r="H39" s="138">
        <v>36.167000000000002</v>
      </c>
      <c r="I39" s="138">
        <v>43.429000000000002</v>
      </c>
      <c r="J39" s="138">
        <v>38.436999999999998</v>
      </c>
      <c r="K39" s="138">
        <v>36.195</v>
      </c>
      <c r="L39" s="138">
        <v>65.909000000000006</v>
      </c>
      <c r="M39" s="138">
        <v>47.518999999999998</v>
      </c>
      <c r="N39" s="138">
        <v>49.859000000000002</v>
      </c>
      <c r="O39" s="138">
        <v>44.279000000000003</v>
      </c>
      <c r="P39" s="138">
        <v>167.66300000000001</v>
      </c>
      <c r="Q39" s="141">
        <f t="shared" si="30"/>
        <v>93.798334721065785</v>
      </c>
      <c r="R39" s="139">
        <v>543.745</v>
      </c>
      <c r="S39" s="140">
        <f t="shared" ref="S39:S61" si="39">F39-R39</f>
        <v>19.51400000000001</v>
      </c>
      <c r="T39" s="141">
        <f t="shared" si="33"/>
        <v>103.58881460978952</v>
      </c>
      <c r="U39" s="140">
        <f t="shared" si="20"/>
        <v>500.41666666666663</v>
      </c>
      <c r="V39" s="140">
        <f t="shared" ref="V39:V73" si="40">F39-U39</f>
        <v>62.842333333333386</v>
      </c>
      <c r="W39" s="141">
        <f t="shared" si="31"/>
        <v>112.55800166527894</v>
      </c>
      <c r="Y39" s="138">
        <v>555.30499999999995</v>
      </c>
      <c r="Z39" s="140">
        <f t="shared" ref="Z39:Z75" si="41">F39-Y39</f>
        <v>7.9540000000000646</v>
      </c>
      <c r="AA39" s="141">
        <f t="shared" si="37"/>
        <v>101.43236599706469</v>
      </c>
      <c r="AB39" s="56">
        <f>100-AA39</f>
        <v>-1.4323659970646929</v>
      </c>
    </row>
    <row r="40" spans="1:34" s="135" customFormat="1" ht="75" x14ac:dyDescent="0.25">
      <c r="A40" s="133">
        <f t="shared" si="38"/>
        <v>18</v>
      </c>
      <c r="B40" s="170" t="s">
        <v>100</v>
      </c>
      <c r="C40" s="134" t="s">
        <v>99</v>
      </c>
      <c r="D40" s="138">
        <v>2.5499999999999998</v>
      </c>
      <c r="E40" s="138">
        <v>2.5499999999999998</v>
      </c>
      <c r="F40" s="138">
        <f t="shared" si="24"/>
        <v>2.6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2.6</v>
      </c>
      <c r="O40" s="138">
        <v>0</v>
      </c>
      <c r="P40" s="138">
        <v>0</v>
      </c>
      <c r="Q40" s="141">
        <f t="shared" si="30"/>
        <v>101.96078431372551</v>
      </c>
      <c r="R40" s="139">
        <v>2.5499999999999998</v>
      </c>
      <c r="S40" s="140">
        <f t="shared" si="39"/>
        <v>5.0000000000000266E-2</v>
      </c>
      <c r="T40" s="141">
        <f t="shared" si="33"/>
        <v>101.96078431372551</v>
      </c>
      <c r="U40" s="140">
        <f t="shared" si="20"/>
        <v>2.125</v>
      </c>
      <c r="V40" s="140">
        <f t="shared" si="40"/>
        <v>0.47500000000000009</v>
      </c>
      <c r="W40" s="141">
        <f t="shared" si="31"/>
        <v>122.35294117647059</v>
      </c>
      <c r="Y40" s="138">
        <v>0</v>
      </c>
      <c r="Z40" s="140">
        <f t="shared" si="41"/>
        <v>2.6</v>
      </c>
      <c r="AA40" s="141"/>
    </row>
    <row r="41" spans="1:34" s="135" customFormat="1" ht="23.25" x14ac:dyDescent="0.25">
      <c r="A41" s="133">
        <f t="shared" si="38"/>
        <v>19</v>
      </c>
      <c r="B41" s="172" t="s">
        <v>62</v>
      </c>
      <c r="C41" s="25" t="s">
        <v>63</v>
      </c>
      <c r="D41" s="138">
        <v>70</v>
      </c>
      <c r="E41" s="138">
        <f>70+200</f>
        <v>270</v>
      </c>
      <c r="F41" s="138">
        <f t="shared" si="24"/>
        <v>230.22200000000001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230.22200000000001</v>
      </c>
      <c r="M41" s="138">
        <v>0</v>
      </c>
      <c r="N41" s="138">
        <v>0</v>
      </c>
      <c r="O41" s="138">
        <v>0</v>
      </c>
      <c r="P41" s="138">
        <v>0</v>
      </c>
      <c r="Q41" s="141">
        <f t="shared" si="30"/>
        <v>85.267407407407418</v>
      </c>
      <c r="R41" s="139">
        <v>230</v>
      </c>
      <c r="S41" s="140">
        <f t="shared" si="39"/>
        <v>0.22200000000000841</v>
      </c>
      <c r="T41" s="141">
        <f>F41/R41*100</f>
        <v>100.09652173913044</v>
      </c>
      <c r="U41" s="140">
        <f t="shared" si="20"/>
        <v>225</v>
      </c>
      <c r="V41" s="140">
        <f t="shared" si="40"/>
        <v>5.2220000000000084</v>
      </c>
      <c r="W41" s="141">
        <f t="shared" si="31"/>
        <v>102.32088888888889</v>
      </c>
      <c r="Y41" s="138">
        <v>0</v>
      </c>
      <c r="Z41" s="140">
        <f t="shared" si="41"/>
        <v>230.22200000000001</v>
      </c>
      <c r="AA41" s="141"/>
    </row>
    <row r="42" spans="1:34" s="135" customFormat="1" ht="23.25" x14ac:dyDescent="0.25">
      <c r="A42" s="133">
        <f t="shared" si="38"/>
        <v>20</v>
      </c>
      <c r="B42" s="170" t="s">
        <v>8</v>
      </c>
      <c r="C42" s="134" t="s">
        <v>20</v>
      </c>
      <c r="D42" s="138">
        <v>1400</v>
      </c>
      <c r="E42" s="138">
        <v>1400</v>
      </c>
      <c r="F42" s="138">
        <f t="shared" si="24"/>
        <v>1430.6820000000002</v>
      </c>
      <c r="G42" s="138">
        <v>161.375</v>
      </c>
      <c r="H42" s="138">
        <v>156.322</v>
      </c>
      <c r="I42" s="138">
        <v>144.40100000000001</v>
      </c>
      <c r="J42" s="138">
        <v>126.51600000000001</v>
      </c>
      <c r="K42" s="138">
        <v>134.447</v>
      </c>
      <c r="L42" s="138">
        <v>125.53100000000001</v>
      </c>
      <c r="M42" s="138">
        <v>199.05099999999999</v>
      </c>
      <c r="N42" s="138">
        <v>144.816</v>
      </c>
      <c r="O42" s="138">
        <v>131.62100000000001</v>
      </c>
      <c r="P42" s="138">
        <v>106.602</v>
      </c>
      <c r="Q42" s="141">
        <f t="shared" si="30"/>
        <v>102.19157142857145</v>
      </c>
      <c r="R42" s="139">
        <v>1400</v>
      </c>
      <c r="S42" s="140">
        <f t="shared" si="39"/>
        <v>30.682000000000244</v>
      </c>
      <c r="T42" s="141">
        <f>F42/R42*100</f>
        <v>102.19157142857145</v>
      </c>
      <c r="U42" s="140">
        <f t="shared" si="20"/>
        <v>1166.6666666666667</v>
      </c>
      <c r="V42" s="140">
        <f t="shared" si="40"/>
        <v>264.0153333333335</v>
      </c>
      <c r="W42" s="141">
        <f t="shared" si="31"/>
        <v>122.62988571428572</v>
      </c>
      <c r="Y42" s="138">
        <v>41737.618999999992</v>
      </c>
      <c r="Z42" s="140">
        <f t="shared" si="41"/>
        <v>-40306.936999999991</v>
      </c>
      <c r="AA42" s="141">
        <f>F42/Y42*100</f>
        <v>3.4277997506278459</v>
      </c>
      <c r="AE42" s="135">
        <v>246438.04</v>
      </c>
    </row>
    <row r="43" spans="1:34" s="135" customFormat="1" ht="56.25" x14ac:dyDescent="0.25">
      <c r="A43" s="133">
        <f t="shared" si="38"/>
        <v>21</v>
      </c>
      <c r="B43" s="170" t="s">
        <v>158</v>
      </c>
      <c r="C43" s="134" t="s">
        <v>157</v>
      </c>
      <c r="D43" s="138">
        <v>0</v>
      </c>
      <c r="E43" s="138">
        <v>0</v>
      </c>
      <c r="F43" s="138">
        <f t="shared" si="24"/>
        <v>0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41"/>
      <c r="R43" s="139">
        <v>0</v>
      </c>
      <c r="S43" s="140">
        <f t="shared" si="39"/>
        <v>0</v>
      </c>
      <c r="T43" s="141"/>
      <c r="U43" s="140">
        <f t="shared" si="20"/>
        <v>0</v>
      </c>
      <c r="V43" s="140">
        <f t="shared" si="40"/>
        <v>0</v>
      </c>
      <c r="W43" s="141"/>
      <c r="Y43" s="138">
        <v>87.876999999999995</v>
      </c>
      <c r="Z43" s="140">
        <f t="shared" si="41"/>
        <v>-87.876999999999995</v>
      </c>
      <c r="AA43" s="141"/>
    </row>
    <row r="44" spans="1:34" s="135" customFormat="1" ht="120" customHeight="1" x14ac:dyDescent="0.25">
      <c r="A44" s="133">
        <f t="shared" si="38"/>
        <v>22</v>
      </c>
      <c r="B44" s="170" t="s">
        <v>53</v>
      </c>
      <c r="C44" s="134" t="s">
        <v>47</v>
      </c>
      <c r="D44" s="138">
        <v>1000</v>
      </c>
      <c r="E44" s="138">
        <v>1000</v>
      </c>
      <c r="F44" s="138">
        <f t="shared" si="24"/>
        <v>958.93799999999987</v>
      </c>
      <c r="G44" s="138">
        <v>2.294</v>
      </c>
      <c r="H44" s="138">
        <v>266.43700000000001</v>
      </c>
      <c r="I44" s="138">
        <v>61.570999999999998</v>
      </c>
      <c r="J44" s="138">
        <v>32.951000000000001</v>
      </c>
      <c r="K44" s="138">
        <v>52.198</v>
      </c>
      <c r="L44" s="138">
        <v>378.97300000000001</v>
      </c>
      <c r="M44" s="138">
        <v>2.1840000000000002</v>
      </c>
      <c r="N44" s="138">
        <v>131.89699999999999</v>
      </c>
      <c r="O44" s="138">
        <v>0</v>
      </c>
      <c r="P44" s="138">
        <v>30.433</v>
      </c>
      <c r="Q44" s="141">
        <f t="shared" ref="Q44:Q49" si="42">F44/E44*100</f>
        <v>95.893799999999985</v>
      </c>
      <c r="R44" s="139">
        <v>924</v>
      </c>
      <c r="S44" s="140">
        <f t="shared" si="39"/>
        <v>34.937999999999874</v>
      </c>
      <c r="T44" s="141">
        <f>F44/R44*100</f>
        <v>103.78116883116881</v>
      </c>
      <c r="U44" s="140">
        <f t="shared" si="20"/>
        <v>833.33333333333326</v>
      </c>
      <c r="V44" s="140">
        <f t="shared" si="40"/>
        <v>125.60466666666662</v>
      </c>
      <c r="W44" s="141">
        <f t="shared" ref="W44:W49" si="43">F44/U44*100</f>
        <v>115.07256</v>
      </c>
      <c r="Y44" s="138">
        <v>1057.4970000000001</v>
      </c>
      <c r="Z44" s="140">
        <f t="shared" si="41"/>
        <v>-98.559000000000196</v>
      </c>
      <c r="AA44" s="141">
        <f>F44/Y44*100</f>
        <v>90.679973560208666</v>
      </c>
      <c r="AD44" s="135">
        <v>308493.50900000002</v>
      </c>
    </row>
    <row r="45" spans="1:34" s="135" customFormat="1" ht="56.25" x14ac:dyDescent="0.25">
      <c r="A45" s="133">
        <f t="shared" si="38"/>
        <v>23</v>
      </c>
      <c r="B45" s="170" t="s">
        <v>130</v>
      </c>
      <c r="C45" s="134" t="s">
        <v>129</v>
      </c>
      <c r="D45" s="138">
        <v>15</v>
      </c>
      <c r="E45" s="138">
        <v>15</v>
      </c>
      <c r="F45" s="138">
        <f t="shared" si="24"/>
        <v>0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41">
        <f t="shared" si="42"/>
        <v>0</v>
      </c>
      <c r="R45" s="139">
        <v>0</v>
      </c>
      <c r="S45" s="140">
        <f t="shared" si="39"/>
        <v>0</v>
      </c>
      <c r="T45" s="141"/>
      <c r="U45" s="140">
        <f t="shared" si="20"/>
        <v>12.5</v>
      </c>
      <c r="V45" s="140">
        <f t="shared" si="40"/>
        <v>-12.5</v>
      </c>
      <c r="W45" s="141">
        <f t="shared" si="43"/>
        <v>0</v>
      </c>
      <c r="Y45" s="138">
        <v>36.600999999999992</v>
      </c>
      <c r="Z45" s="140">
        <f t="shared" si="41"/>
        <v>-36.600999999999992</v>
      </c>
      <c r="AA45" s="141">
        <f>F45/Y45*100</f>
        <v>0</v>
      </c>
      <c r="AC45" s="55">
        <f>F47-F42</f>
        <v>3011187.2050000005</v>
      </c>
      <c r="AD45" s="55">
        <f>Y47-Y42</f>
        <v>2543179.0599999996</v>
      </c>
      <c r="AE45" s="56">
        <f>AC45/AD45</f>
        <v>1.1840248499844133</v>
      </c>
    </row>
    <row r="46" spans="1:34" s="135" customFormat="1" ht="37.5" x14ac:dyDescent="0.25">
      <c r="A46" s="133">
        <f t="shared" si="38"/>
        <v>24</v>
      </c>
      <c r="B46" s="170" t="s">
        <v>85</v>
      </c>
      <c r="C46" s="134" t="s">
        <v>84</v>
      </c>
      <c r="D46" s="138">
        <v>4.4000000000000004</v>
      </c>
      <c r="E46" s="138">
        <v>4.4000000000000004</v>
      </c>
      <c r="F46" s="138">
        <f t="shared" si="24"/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41">
        <f t="shared" si="42"/>
        <v>0</v>
      </c>
      <c r="R46" s="139">
        <v>0</v>
      </c>
      <c r="S46" s="140">
        <f t="shared" si="39"/>
        <v>0</v>
      </c>
      <c r="T46" s="141"/>
      <c r="U46" s="140">
        <f t="shared" si="20"/>
        <v>3.666666666666667</v>
      </c>
      <c r="V46" s="140">
        <f t="shared" si="40"/>
        <v>-3.666666666666667</v>
      </c>
      <c r="W46" s="141">
        <f t="shared" si="43"/>
        <v>0</v>
      </c>
      <c r="Y46" s="138">
        <v>2.9350000000000001</v>
      </c>
      <c r="Z46" s="140">
        <f t="shared" si="41"/>
        <v>-2.9350000000000001</v>
      </c>
      <c r="AA46" s="141"/>
    </row>
    <row r="47" spans="1:34" s="65" customFormat="1" ht="46.5" customHeight="1" x14ac:dyDescent="0.3">
      <c r="A47" s="61"/>
      <c r="B47" s="62" t="s">
        <v>155</v>
      </c>
      <c r="C47" s="136"/>
      <c r="D47" s="136">
        <f>D7+D8+D9+D14+D18+D25+D26+D27+D28+D29+D30+D31+D33+D38+D39+D40+D41+D42+D44+D46+D45</f>
        <v>3751621.3889999995</v>
      </c>
      <c r="E47" s="136">
        <f>E7+E8+E9+E14+E18+E25+E26+E27+E28+E29+E30+E31+E33+E38+E39+E40+E41+E42+E44+E46+E45+E32</f>
        <v>3751621.3889999995</v>
      </c>
      <c r="F47" s="136">
        <f t="shared" si="24"/>
        <v>3012617.8870000006</v>
      </c>
      <c r="G47" s="136">
        <f>G7+G8+G9+G14+G18+G25+G26+G27+G28+G29+G30+G31+G33+G38+G39+G40+G41+G42+G44+G46+G45+G32</f>
        <v>237295.24299999996</v>
      </c>
      <c r="H47" s="136">
        <f t="shared" ref="H47:P47" si="44">H7+H8+H9+H14+H18+H25+H26+H27+H28+H29+H30+H31+H33+H38+H39+H40+H41+H42+H44+H46+H45+H32</f>
        <v>305315.03199999995</v>
      </c>
      <c r="I47" s="136">
        <f t="shared" ref="I47:O47" si="45">I7+I8+I9+I14+I18+I25+I26+I27+I28+I29+I30+I31+I33+I38+I39+I40+I41+I42+I44+I46+I45+I32</f>
        <v>276790.2</v>
      </c>
      <c r="J47" s="136">
        <f t="shared" si="45"/>
        <v>310545.73499999999</v>
      </c>
      <c r="K47" s="136">
        <f t="shared" si="45"/>
        <v>308493.50899999996</v>
      </c>
      <c r="L47" s="136">
        <f t="shared" si="45"/>
        <v>294480.42599999998</v>
      </c>
      <c r="M47" s="136">
        <f t="shared" si="45"/>
        <v>323392.28900000005</v>
      </c>
      <c r="N47" s="136">
        <f t="shared" si="45"/>
        <v>310292.29000000004</v>
      </c>
      <c r="O47" s="136">
        <f t="shared" si="45"/>
        <v>270316.22699999996</v>
      </c>
      <c r="P47" s="136">
        <f t="shared" si="44"/>
        <v>375696.93600000016</v>
      </c>
      <c r="Q47" s="64">
        <f t="shared" si="42"/>
        <v>80.301756883922096</v>
      </c>
      <c r="R47" s="136">
        <f>R7+R8+R9+R14+R18+R25+R26+R27+R28+R29+R30+R31+R33+R38+R39+R40+R41+R42+R44+R46+R45+R32</f>
        <v>2844663.7779999999</v>
      </c>
      <c r="S47" s="63">
        <f t="shared" si="39"/>
        <v>167954.10900000064</v>
      </c>
      <c r="T47" s="64">
        <f>F47/R47*100</f>
        <v>105.90418137633419</v>
      </c>
      <c r="U47" s="136">
        <f>U7+U8+U9+U14+U18+U25+U26+U27+U28+U29+U30+U31+U33+U38+U39+U40+U41+U42+U44+U46+U45+U32+U43</f>
        <v>3126351.1574999993</v>
      </c>
      <c r="V47" s="63">
        <f t="shared" si="40"/>
        <v>-113733.2704999987</v>
      </c>
      <c r="W47" s="64">
        <f t="shared" si="43"/>
        <v>96.36210826070652</v>
      </c>
      <c r="Y47" s="136">
        <f>Y7+Y8+Y9+Y14+Y18+Y25+Y26+Y27+Y28+Y29+Y30+Y31+Y33+Y38+Y39+Y40+Y41+Y42+Y44+Y46+Y45+Y24+Y43</f>
        <v>2584916.6789999995</v>
      </c>
      <c r="Z47" s="63">
        <f t="shared" si="41"/>
        <v>427701.20800000103</v>
      </c>
      <c r="AA47" s="64">
        <f>F47/Y47*100</f>
        <v>116.54603459657591</v>
      </c>
      <c r="AB47" s="66">
        <v>2584916.679</v>
      </c>
      <c r="AC47" s="66">
        <f>AB47-Y47</f>
        <v>0</v>
      </c>
      <c r="AF47" s="66" t="e">
        <f>#REF!-#REF!-#REF!</f>
        <v>#REF!</v>
      </c>
      <c r="AH47" s="65">
        <v>294547.38299999997</v>
      </c>
    </row>
    <row r="48" spans="1:34" s="8" customFormat="1" ht="34.5" x14ac:dyDescent="0.25">
      <c r="A48" s="165">
        <v>1</v>
      </c>
      <c r="B48" s="179" t="s">
        <v>188</v>
      </c>
      <c r="C48" s="124" t="s">
        <v>187</v>
      </c>
      <c r="D48" s="144">
        <v>0</v>
      </c>
      <c r="E48" s="144">
        <v>3128.8</v>
      </c>
      <c r="F48" s="138">
        <f t="shared" si="24"/>
        <v>1096.2</v>
      </c>
      <c r="G48" s="138">
        <v>0</v>
      </c>
      <c r="H48" s="138">
        <v>0</v>
      </c>
      <c r="I48" s="138">
        <v>0</v>
      </c>
      <c r="J48" s="138">
        <v>0</v>
      </c>
      <c r="K48" s="138">
        <v>0</v>
      </c>
      <c r="L48" s="138">
        <v>0</v>
      </c>
      <c r="M48" s="138">
        <v>0</v>
      </c>
      <c r="N48" s="138">
        <v>0</v>
      </c>
      <c r="O48" s="138">
        <v>783</v>
      </c>
      <c r="P48" s="138">
        <v>313.2</v>
      </c>
      <c r="Q48" s="141">
        <f t="shared" si="42"/>
        <v>35.035796471490663</v>
      </c>
      <c r="R48" s="138">
        <v>1096.2</v>
      </c>
      <c r="S48" s="140">
        <f t="shared" ref="S48" si="46">F48-R48</f>
        <v>0</v>
      </c>
      <c r="T48" s="141">
        <f>F48/R48*100</f>
        <v>100</v>
      </c>
      <c r="U48" s="138">
        <f>R48</f>
        <v>1096.2</v>
      </c>
      <c r="V48" s="140">
        <f t="shared" ref="V48" si="47">F48-U48</f>
        <v>0</v>
      </c>
      <c r="W48" s="141">
        <f t="shared" si="43"/>
        <v>100</v>
      </c>
      <c r="Y48" s="138">
        <v>0</v>
      </c>
      <c r="Z48" s="140">
        <f t="shared" si="41"/>
        <v>1096.2</v>
      </c>
      <c r="AA48" s="141"/>
      <c r="AB48" s="33"/>
      <c r="AC48" s="33"/>
      <c r="AD48" s="33"/>
      <c r="AE48" s="35"/>
    </row>
    <row r="49" spans="1:31" s="8" customFormat="1" ht="23.25" x14ac:dyDescent="0.25">
      <c r="A49" s="158">
        <f>A48+1</f>
        <v>2</v>
      </c>
      <c r="B49" s="179" t="s">
        <v>212</v>
      </c>
      <c r="C49" s="124" t="s">
        <v>55</v>
      </c>
      <c r="D49" s="144">
        <v>717803.4</v>
      </c>
      <c r="E49" s="144">
        <v>717803.4</v>
      </c>
      <c r="F49" s="138">
        <f t="shared" si="24"/>
        <v>588381.00000000012</v>
      </c>
      <c r="G49" s="138">
        <v>44804.3</v>
      </c>
      <c r="H49" s="138">
        <v>52312.800000000003</v>
      </c>
      <c r="I49" s="138">
        <v>54480.800000000003</v>
      </c>
      <c r="J49" s="138">
        <v>55203.4</v>
      </c>
      <c r="K49" s="138">
        <v>71101.8</v>
      </c>
      <c r="L49" s="138">
        <v>137361.60000000001</v>
      </c>
      <c r="M49" s="138">
        <v>24852.1</v>
      </c>
      <c r="N49" s="138">
        <v>28465.4</v>
      </c>
      <c r="O49" s="138">
        <v>59536.800000000003</v>
      </c>
      <c r="P49" s="138">
        <v>60262</v>
      </c>
      <c r="Q49" s="141">
        <f t="shared" si="42"/>
        <v>81.969659101642605</v>
      </c>
      <c r="R49" s="138">
        <v>588381</v>
      </c>
      <c r="S49" s="140">
        <f t="shared" si="39"/>
        <v>0</v>
      </c>
      <c r="T49" s="141">
        <f>F49/R49*100</f>
        <v>100.00000000000003</v>
      </c>
      <c r="U49" s="138">
        <f>R49</f>
        <v>588381</v>
      </c>
      <c r="V49" s="140">
        <f t="shared" si="40"/>
        <v>0</v>
      </c>
      <c r="W49" s="141">
        <f t="shared" si="43"/>
        <v>100.00000000000003</v>
      </c>
      <c r="Y49" s="138">
        <v>468162.8</v>
      </c>
      <c r="Z49" s="140">
        <f t="shared" si="41"/>
        <v>120218.20000000013</v>
      </c>
      <c r="AA49" s="141">
        <f>F49/Y49*100</f>
        <v>125.67871689079102</v>
      </c>
      <c r="AB49" s="33"/>
      <c r="AC49" s="33"/>
      <c r="AD49" s="33"/>
      <c r="AE49" s="35"/>
    </row>
    <row r="50" spans="1:31" s="8" customFormat="1" ht="23.25" x14ac:dyDescent="0.25">
      <c r="A50" s="165">
        <f t="shared" ref="A50:A58" si="48">A49+1</f>
        <v>3</v>
      </c>
      <c r="B50" s="179" t="s">
        <v>213</v>
      </c>
      <c r="C50" s="124" t="s">
        <v>56</v>
      </c>
      <c r="D50" s="144">
        <v>0</v>
      </c>
      <c r="E50" s="144">
        <v>0</v>
      </c>
      <c r="F50" s="138">
        <f t="shared" si="24"/>
        <v>0</v>
      </c>
      <c r="G50" s="138">
        <v>0</v>
      </c>
      <c r="H50" s="138">
        <v>0</v>
      </c>
      <c r="I50" s="138">
        <v>0</v>
      </c>
      <c r="J50" s="138">
        <v>0</v>
      </c>
      <c r="K50" s="138">
        <v>0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/>
      <c r="R50" s="138">
        <v>0</v>
      </c>
      <c r="S50" s="140">
        <f t="shared" si="39"/>
        <v>0</v>
      </c>
      <c r="T50" s="141"/>
      <c r="U50" s="138">
        <f t="shared" ref="U50:U71" si="49">R50</f>
        <v>0</v>
      </c>
      <c r="V50" s="140">
        <f t="shared" si="40"/>
        <v>0</v>
      </c>
      <c r="W50" s="141"/>
      <c r="Y50" s="138">
        <v>72658.799999999988</v>
      </c>
      <c r="Z50" s="140">
        <f t="shared" si="41"/>
        <v>-72658.799999999988</v>
      </c>
      <c r="AA50" s="141">
        <f>F50/Y50*100</f>
        <v>0</v>
      </c>
      <c r="AB50" s="33"/>
      <c r="AC50" s="33"/>
      <c r="AD50" s="33"/>
      <c r="AE50" s="35"/>
    </row>
    <row r="51" spans="1:31" s="8" customFormat="1" ht="34.5" x14ac:dyDescent="0.25">
      <c r="A51" s="165">
        <f t="shared" si="48"/>
        <v>4</v>
      </c>
      <c r="B51" s="179" t="s">
        <v>214</v>
      </c>
      <c r="C51" s="124" t="s">
        <v>168</v>
      </c>
      <c r="D51" s="144">
        <v>0</v>
      </c>
      <c r="E51" s="144">
        <v>10000</v>
      </c>
      <c r="F51" s="138">
        <f t="shared" si="24"/>
        <v>10000</v>
      </c>
      <c r="G51" s="138">
        <v>0</v>
      </c>
      <c r="H51" s="138">
        <v>0</v>
      </c>
      <c r="I51" s="138">
        <v>0</v>
      </c>
      <c r="J51" s="138">
        <v>0</v>
      </c>
      <c r="K51" s="138">
        <v>3516</v>
      </c>
      <c r="L51" s="138">
        <v>1758</v>
      </c>
      <c r="M51" s="138">
        <v>1758</v>
      </c>
      <c r="N51" s="138">
        <v>1758</v>
      </c>
      <c r="O51" s="138">
        <v>1210</v>
      </c>
      <c r="P51" s="138">
        <v>0</v>
      </c>
      <c r="Q51" s="141">
        <f>F51/E51*100</f>
        <v>100</v>
      </c>
      <c r="R51" s="138">
        <v>10000</v>
      </c>
      <c r="S51" s="140">
        <f t="shared" si="39"/>
        <v>0</v>
      </c>
      <c r="T51" s="141">
        <f>F51/R51*100</f>
        <v>100</v>
      </c>
      <c r="U51" s="138">
        <f t="shared" si="49"/>
        <v>10000</v>
      </c>
      <c r="V51" s="140">
        <f t="shared" si="40"/>
        <v>0</v>
      </c>
      <c r="W51" s="141">
        <f>F51/U51*100</f>
        <v>100</v>
      </c>
      <c r="Y51" s="138">
        <v>0</v>
      </c>
      <c r="Z51" s="140">
        <f t="shared" si="41"/>
        <v>10000</v>
      </c>
      <c r="AA51" s="141"/>
      <c r="AB51" s="33"/>
      <c r="AC51" s="33"/>
      <c r="AD51" s="33"/>
      <c r="AE51" s="35"/>
    </row>
    <row r="52" spans="1:31" s="8" customFormat="1" ht="51.75" x14ac:dyDescent="0.25">
      <c r="A52" s="165">
        <f t="shared" si="48"/>
        <v>5</v>
      </c>
      <c r="B52" s="180" t="s">
        <v>215</v>
      </c>
      <c r="C52" s="159" t="s">
        <v>116</v>
      </c>
      <c r="D52" s="144">
        <v>0</v>
      </c>
      <c r="E52" s="144">
        <v>0</v>
      </c>
      <c r="F52" s="138">
        <f t="shared" si="24"/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41"/>
      <c r="R52" s="138">
        <v>0</v>
      </c>
      <c r="S52" s="140">
        <f t="shared" si="39"/>
        <v>0</v>
      </c>
      <c r="T52" s="141"/>
      <c r="U52" s="138">
        <f t="shared" si="49"/>
        <v>0</v>
      </c>
      <c r="V52" s="140">
        <f t="shared" si="40"/>
        <v>0</v>
      </c>
      <c r="W52" s="141"/>
      <c r="Y52" s="138">
        <v>12210.8</v>
      </c>
      <c r="Z52" s="140">
        <f t="shared" si="41"/>
        <v>-12210.8</v>
      </c>
      <c r="AA52" s="141">
        <f>F52/Y52*100</f>
        <v>0</v>
      </c>
      <c r="AB52" s="33"/>
      <c r="AC52" s="33"/>
      <c r="AD52" s="33"/>
      <c r="AE52" s="35"/>
    </row>
    <row r="53" spans="1:31" s="8" customFormat="1" ht="174" customHeight="1" x14ac:dyDescent="0.25">
      <c r="A53" s="165">
        <f t="shared" si="48"/>
        <v>6</v>
      </c>
      <c r="B53" s="180" t="s">
        <v>174</v>
      </c>
      <c r="C53" s="162" t="s">
        <v>175</v>
      </c>
      <c r="D53" s="144"/>
      <c r="E53" s="144">
        <v>3202.9960000000001</v>
      </c>
      <c r="F53" s="138">
        <f t="shared" si="24"/>
        <v>3202.9960000000001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3202.9960000000001</v>
      </c>
      <c r="P53" s="138">
        <v>0</v>
      </c>
      <c r="Q53" s="141">
        <f t="shared" ref="Q53:Q58" si="50">F53/E53*100</f>
        <v>100</v>
      </c>
      <c r="R53" s="138">
        <v>3202.9960000000001</v>
      </c>
      <c r="S53" s="140">
        <f t="shared" si="39"/>
        <v>0</v>
      </c>
      <c r="T53" s="141">
        <f t="shared" ref="T53:T55" si="51">F53/R53*100</f>
        <v>100</v>
      </c>
      <c r="U53" s="138">
        <f t="shared" si="49"/>
        <v>3202.9960000000001</v>
      </c>
      <c r="V53" s="140">
        <f t="shared" si="40"/>
        <v>0</v>
      </c>
      <c r="W53" s="141">
        <f t="shared" ref="W53:W55" si="52">F53/U53*100</f>
        <v>100</v>
      </c>
      <c r="Y53" s="138">
        <v>7225.5249999999996</v>
      </c>
      <c r="Z53" s="140">
        <f t="shared" ref="Z53:Z55" si="53">F53-Y53</f>
        <v>-4022.5289999999995</v>
      </c>
      <c r="AA53" s="141">
        <f t="shared" ref="AA53:AA55" si="54">F53/Y53*100</f>
        <v>44.328903436082499</v>
      </c>
      <c r="AB53" s="33"/>
      <c r="AC53" s="33"/>
      <c r="AD53" s="33"/>
      <c r="AE53" s="35"/>
    </row>
    <row r="54" spans="1:31" s="8" customFormat="1" ht="179.25" customHeight="1" x14ac:dyDescent="0.25">
      <c r="A54" s="165">
        <f t="shared" si="48"/>
        <v>7</v>
      </c>
      <c r="B54" s="180" t="s">
        <v>176</v>
      </c>
      <c r="C54" s="162" t="s">
        <v>177</v>
      </c>
      <c r="D54" s="144"/>
      <c r="E54" s="144">
        <v>1387.925</v>
      </c>
      <c r="F54" s="138">
        <f t="shared" si="24"/>
        <v>1387.925</v>
      </c>
      <c r="G54" s="138">
        <v>0</v>
      </c>
      <c r="H54" s="138">
        <v>0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  <c r="N54" s="138">
        <v>0</v>
      </c>
      <c r="O54" s="138">
        <v>1387.925</v>
      </c>
      <c r="P54" s="138">
        <v>0</v>
      </c>
      <c r="Q54" s="141">
        <f t="shared" si="50"/>
        <v>100</v>
      </c>
      <c r="R54" s="138">
        <v>1387.925</v>
      </c>
      <c r="S54" s="140">
        <f t="shared" si="39"/>
        <v>0</v>
      </c>
      <c r="T54" s="141">
        <f t="shared" si="51"/>
        <v>100</v>
      </c>
      <c r="U54" s="138">
        <f t="shared" si="49"/>
        <v>1387.925</v>
      </c>
      <c r="V54" s="140">
        <f t="shared" si="40"/>
        <v>0</v>
      </c>
      <c r="W54" s="141">
        <f t="shared" si="52"/>
        <v>100</v>
      </c>
      <c r="Y54" s="138">
        <v>1007.963</v>
      </c>
      <c r="Z54" s="140">
        <f t="shared" si="53"/>
        <v>379.96199999999999</v>
      </c>
      <c r="AA54" s="141">
        <f t="shared" si="54"/>
        <v>137.69602654065676</v>
      </c>
      <c r="AB54" s="33"/>
      <c r="AC54" s="33"/>
      <c r="AD54" s="33"/>
      <c r="AE54" s="35"/>
    </row>
    <row r="55" spans="1:31" s="8" customFormat="1" ht="257.25" customHeight="1" x14ac:dyDescent="0.25">
      <c r="A55" s="165">
        <f t="shared" si="48"/>
        <v>8</v>
      </c>
      <c r="B55" s="180" t="s">
        <v>178</v>
      </c>
      <c r="C55" s="162" t="s">
        <v>179</v>
      </c>
      <c r="D55" s="144"/>
      <c r="E55" s="144">
        <v>2654.32</v>
      </c>
      <c r="F55" s="138">
        <f t="shared" si="24"/>
        <v>2654.32</v>
      </c>
      <c r="G55" s="138">
        <v>0</v>
      </c>
      <c r="H55" s="138">
        <v>0</v>
      </c>
      <c r="I55" s="138">
        <v>0</v>
      </c>
      <c r="J55" s="138">
        <v>0</v>
      </c>
      <c r="K55" s="138">
        <v>0</v>
      </c>
      <c r="L55" s="138">
        <v>0</v>
      </c>
      <c r="M55" s="138">
        <v>0</v>
      </c>
      <c r="N55" s="138">
        <v>0</v>
      </c>
      <c r="O55" s="138">
        <v>2654.32</v>
      </c>
      <c r="P55" s="138">
        <v>0</v>
      </c>
      <c r="Q55" s="141">
        <f t="shared" si="50"/>
        <v>100</v>
      </c>
      <c r="R55" s="138">
        <v>2654.32</v>
      </c>
      <c r="S55" s="140">
        <f t="shared" si="39"/>
        <v>0</v>
      </c>
      <c r="T55" s="141">
        <f t="shared" si="51"/>
        <v>100</v>
      </c>
      <c r="U55" s="138">
        <f t="shared" si="49"/>
        <v>2654.32</v>
      </c>
      <c r="V55" s="140">
        <f t="shared" si="40"/>
        <v>0</v>
      </c>
      <c r="W55" s="141">
        <f t="shared" si="52"/>
        <v>100</v>
      </c>
      <c r="Y55" s="138">
        <v>2751.9989999999998</v>
      </c>
      <c r="Z55" s="140">
        <f t="shared" si="53"/>
        <v>-97.678999999999633</v>
      </c>
      <c r="AA55" s="141">
        <f t="shared" si="54"/>
        <v>96.450616442811224</v>
      </c>
      <c r="AB55" s="33"/>
      <c r="AC55" s="33"/>
      <c r="AD55" s="33"/>
      <c r="AE55" s="35"/>
    </row>
    <row r="56" spans="1:31" s="8" customFormat="1" ht="34.5" x14ac:dyDescent="0.25">
      <c r="A56" s="165">
        <f t="shared" si="48"/>
        <v>9</v>
      </c>
      <c r="B56" s="180" t="s">
        <v>216</v>
      </c>
      <c r="C56" s="159" t="s">
        <v>125</v>
      </c>
      <c r="D56" s="144">
        <v>11474.77</v>
      </c>
      <c r="E56" s="144">
        <v>11474.77</v>
      </c>
      <c r="F56" s="138">
        <f t="shared" si="24"/>
        <v>9405.8330000000005</v>
      </c>
      <c r="G56" s="138">
        <v>716.24</v>
      </c>
      <c r="H56" s="138">
        <v>836.27099999999996</v>
      </c>
      <c r="I56" s="138">
        <v>870.92700000000002</v>
      </c>
      <c r="J56" s="138">
        <v>882.48</v>
      </c>
      <c r="K56" s="138">
        <v>1136.6300000000001</v>
      </c>
      <c r="L56" s="138">
        <v>2195.857</v>
      </c>
      <c r="M56" s="138">
        <v>397.28500000000003</v>
      </c>
      <c r="N56" s="138">
        <v>455.04599999999999</v>
      </c>
      <c r="O56" s="138">
        <v>951.75199999999995</v>
      </c>
      <c r="P56" s="138">
        <v>963.34500000000003</v>
      </c>
      <c r="Q56" s="141">
        <f t="shared" si="50"/>
        <v>81.96968653837942</v>
      </c>
      <c r="R56" s="139">
        <v>9405.8330000000005</v>
      </c>
      <c r="S56" s="140">
        <f t="shared" si="39"/>
        <v>0</v>
      </c>
      <c r="T56" s="141">
        <f>F56/R56*100</f>
        <v>100</v>
      </c>
      <c r="U56" s="138">
        <f t="shared" si="49"/>
        <v>9405.8330000000005</v>
      </c>
      <c r="V56" s="140">
        <f t="shared" si="40"/>
        <v>0</v>
      </c>
      <c r="W56" s="141">
        <f>F56/U56*100</f>
        <v>100</v>
      </c>
      <c r="Y56" s="138">
        <v>5799.5439999999999</v>
      </c>
      <c r="Z56" s="140">
        <f t="shared" si="41"/>
        <v>3606.2890000000007</v>
      </c>
      <c r="AA56" s="141">
        <f>F56/Y56*100</f>
        <v>162.18228536588396</v>
      </c>
    </row>
    <row r="57" spans="1:31" s="8" customFormat="1" ht="51.75" x14ac:dyDescent="0.25">
      <c r="A57" s="165">
        <f t="shared" si="48"/>
        <v>10</v>
      </c>
      <c r="B57" s="180" t="s">
        <v>217</v>
      </c>
      <c r="C57" s="159">
        <v>41051200</v>
      </c>
      <c r="D57" s="144">
        <v>4100.6319999999996</v>
      </c>
      <c r="E57" s="144">
        <v>4100.6319999999996</v>
      </c>
      <c r="F57" s="138">
        <f t="shared" si="24"/>
        <v>2673.3679999999995</v>
      </c>
      <c r="G57" s="138">
        <v>203.22900000000001</v>
      </c>
      <c r="H57" s="138">
        <v>203.22900000000001</v>
      </c>
      <c r="I57" s="138">
        <v>203.22900000000001</v>
      </c>
      <c r="J57" s="138">
        <v>297.09899999999999</v>
      </c>
      <c r="K57" s="138">
        <v>226.691</v>
      </c>
      <c r="L57" s="138">
        <v>633.12699999999995</v>
      </c>
      <c r="M57" s="138">
        <v>226.691</v>
      </c>
      <c r="N57" s="138">
        <v>226.691</v>
      </c>
      <c r="O57" s="138">
        <v>226.691</v>
      </c>
      <c r="P57" s="138">
        <v>226.691</v>
      </c>
      <c r="Q57" s="141">
        <f t="shared" si="50"/>
        <v>65.194048136970096</v>
      </c>
      <c r="R57" s="139">
        <v>2673.3679999999999</v>
      </c>
      <c r="S57" s="140">
        <f t="shared" si="39"/>
        <v>0</v>
      </c>
      <c r="T57" s="141">
        <f>F57/R57*100</f>
        <v>99.999999999999972</v>
      </c>
      <c r="U57" s="138">
        <f t="shared" si="49"/>
        <v>2673.3679999999999</v>
      </c>
      <c r="V57" s="140">
        <f t="shared" si="40"/>
        <v>0</v>
      </c>
      <c r="W57" s="141">
        <f>F57/U57*100</f>
        <v>99.999999999999972</v>
      </c>
      <c r="Y57" s="138">
        <v>3054.9840000000004</v>
      </c>
      <c r="Z57" s="140">
        <f t="shared" si="41"/>
        <v>-381.61600000000089</v>
      </c>
      <c r="AA57" s="141">
        <f>F57/Y57*100</f>
        <v>87.508412482684008</v>
      </c>
    </row>
    <row r="58" spans="1:31" s="8" customFormat="1" ht="51.75" x14ac:dyDescent="0.25">
      <c r="A58" s="165">
        <f t="shared" si="48"/>
        <v>11</v>
      </c>
      <c r="B58" s="180" t="s">
        <v>218</v>
      </c>
      <c r="C58" s="159" t="s">
        <v>167</v>
      </c>
      <c r="D58" s="144">
        <v>0</v>
      </c>
      <c r="E58" s="144">
        <v>10198.897000000001</v>
      </c>
      <c r="F58" s="138">
        <f t="shared" si="24"/>
        <v>10198.897000000001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7302.4260000000004</v>
      </c>
      <c r="O58" s="138">
        <v>2896.471</v>
      </c>
      <c r="P58" s="138">
        <v>0</v>
      </c>
      <c r="Q58" s="141">
        <f t="shared" si="50"/>
        <v>100</v>
      </c>
      <c r="R58" s="139">
        <v>10198.897000000001</v>
      </c>
      <c r="S58" s="140">
        <f t="shared" si="39"/>
        <v>0</v>
      </c>
      <c r="T58" s="141">
        <f>F58/R58*100</f>
        <v>100</v>
      </c>
      <c r="U58" s="138">
        <f t="shared" si="49"/>
        <v>10198.897000000001</v>
      </c>
      <c r="V58" s="140">
        <f t="shared" si="40"/>
        <v>0</v>
      </c>
      <c r="W58" s="141">
        <f>F58/U58*100</f>
        <v>100</v>
      </c>
      <c r="Y58" s="138">
        <v>8658.3709999999992</v>
      </c>
      <c r="Z58" s="140">
        <f t="shared" si="41"/>
        <v>1540.5260000000017</v>
      </c>
      <c r="AA58" s="141">
        <f>F58/Y58*100</f>
        <v>117.7923306820648</v>
      </c>
    </row>
    <row r="59" spans="1:31" s="8" customFormat="1" ht="34.5" x14ac:dyDescent="0.25">
      <c r="A59" s="198">
        <v>12</v>
      </c>
      <c r="B59" s="180" t="s">
        <v>231</v>
      </c>
      <c r="C59" s="199" t="s">
        <v>105</v>
      </c>
      <c r="D59" s="144">
        <f>SUM(D60:D61)</f>
        <v>0</v>
      </c>
      <c r="E59" s="144">
        <f>SUM(E60:E61)</f>
        <v>0</v>
      </c>
      <c r="F59" s="138">
        <f t="shared" si="24"/>
        <v>0</v>
      </c>
      <c r="G59" s="138">
        <f>SUM(G60:G61)</f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41"/>
      <c r="R59" s="139">
        <f>SUM(R60:R61)</f>
        <v>0</v>
      </c>
      <c r="S59" s="140">
        <f t="shared" si="39"/>
        <v>0</v>
      </c>
      <c r="T59" s="141"/>
      <c r="U59" s="138">
        <f t="shared" si="49"/>
        <v>0</v>
      </c>
      <c r="V59" s="140">
        <f t="shared" si="40"/>
        <v>0</v>
      </c>
      <c r="W59" s="141"/>
      <c r="Y59" s="138">
        <v>5611.1929999999993</v>
      </c>
      <c r="Z59" s="140">
        <f t="shared" si="41"/>
        <v>-5611.1929999999993</v>
      </c>
      <c r="AA59" s="141"/>
    </row>
    <row r="60" spans="1:31" s="32" customFormat="1" ht="51.75" x14ac:dyDescent="0.25">
      <c r="A60" s="198"/>
      <c r="B60" s="181" t="s">
        <v>91</v>
      </c>
      <c r="C60" s="199"/>
      <c r="D60" s="145">
        <v>0</v>
      </c>
      <c r="E60" s="145">
        <v>0</v>
      </c>
      <c r="F60" s="142">
        <f t="shared" si="24"/>
        <v>0</v>
      </c>
      <c r="G60" s="142">
        <v>0</v>
      </c>
      <c r="H60" s="142">
        <v>0</v>
      </c>
      <c r="I60" s="142">
        <v>0</v>
      </c>
      <c r="J60" s="142">
        <v>0</v>
      </c>
      <c r="K60" s="142">
        <v>0</v>
      </c>
      <c r="L60" s="142">
        <v>0</v>
      </c>
      <c r="M60" s="142">
        <v>0</v>
      </c>
      <c r="N60" s="142">
        <v>0</v>
      </c>
      <c r="O60" s="142">
        <v>0</v>
      </c>
      <c r="P60" s="142">
        <v>0</v>
      </c>
      <c r="Q60" s="143"/>
      <c r="R60" s="91">
        <v>0</v>
      </c>
      <c r="S60" s="92">
        <f t="shared" si="39"/>
        <v>0</v>
      </c>
      <c r="T60" s="143"/>
      <c r="U60" s="142">
        <f t="shared" si="49"/>
        <v>0</v>
      </c>
      <c r="V60" s="92">
        <f t="shared" si="40"/>
        <v>0</v>
      </c>
      <c r="W60" s="143"/>
      <c r="Y60" s="142">
        <v>3462.7930000000001</v>
      </c>
      <c r="Z60" s="92">
        <f t="shared" si="41"/>
        <v>-3462.7930000000001</v>
      </c>
      <c r="AA60" s="143"/>
    </row>
    <row r="61" spans="1:31" s="32" customFormat="1" ht="23.25" x14ac:dyDescent="0.25">
      <c r="A61" s="198"/>
      <c r="B61" s="181" t="s">
        <v>101</v>
      </c>
      <c r="C61" s="199"/>
      <c r="D61" s="145">
        <v>0</v>
      </c>
      <c r="E61" s="145">
        <f t="shared" ref="E61" si="55">D61</f>
        <v>0</v>
      </c>
      <c r="F61" s="142">
        <f t="shared" si="24"/>
        <v>0</v>
      </c>
      <c r="G61" s="142">
        <v>0</v>
      </c>
      <c r="H61" s="142">
        <v>0</v>
      </c>
      <c r="I61" s="142">
        <v>0</v>
      </c>
      <c r="J61" s="142">
        <v>0</v>
      </c>
      <c r="K61" s="142">
        <v>0</v>
      </c>
      <c r="L61" s="142">
        <v>0</v>
      </c>
      <c r="M61" s="142">
        <v>0</v>
      </c>
      <c r="N61" s="142">
        <v>0</v>
      </c>
      <c r="O61" s="142">
        <v>0</v>
      </c>
      <c r="P61" s="142">
        <v>0</v>
      </c>
      <c r="Q61" s="143"/>
      <c r="R61" s="91">
        <v>0</v>
      </c>
      <c r="S61" s="92">
        <f t="shared" si="39"/>
        <v>0</v>
      </c>
      <c r="T61" s="143"/>
      <c r="U61" s="142">
        <f t="shared" si="49"/>
        <v>0</v>
      </c>
      <c r="V61" s="92">
        <f t="shared" si="40"/>
        <v>0</v>
      </c>
      <c r="W61" s="143"/>
      <c r="Y61" s="142">
        <v>2148.4</v>
      </c>
      <c r="Z61" s="92">
        <f t="shared" si="41"/>
        <v>-2148.4</v>
      </c>
      <c r="AA61" s="143"/>
      <c r="AD61" s="32" t="e">
        <f>AB61/#REF!*100</f>
        <v>#REF!</v>
      </c>
    </row>
    <row r="62" spans="1:31" s="32" customFormat="1" ht="51.75" x14ac:dyDescent="0.25">
      <c r="A62" s="158">
        <v>13</v>
      </c>
      <c r="B62" s="180" t="s">
        <v>219</v>
      </c>
      <c r="C62" s="159">
        <v>41051700</v>
      </c>
      <c r="D62" s="144">
        <v>0</v>
      </c>
      <c r="E62" s="144">
        <v>0</v>
      </c>
      <c r="F62" s="138">
        <f t="shared" si="24"/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43"/>
      <c r="R62" s="138">
        <v>0</v>
      </c>
      <c r="S62" s="138">
        <v>0</v>
      </c>
      <c r="T62" s="143"/>
      <c r="U62" s="138">
        <f t="shared" si="49"/>
        <v>0</v>
      </c>
      <c r="V62" s="140">
        <f t="shared" si="40"/>
        <v>0</v>
      </c>
      <c r="W62" s="143"/>
      <c r="Y62" s="138">
        <v>462.70299999999997</v>
      </c>
      <c r="Z62" s="140">
        <f t="shared" si="41"/>
        <v>-462.70299999999997</v>
      </c>
      <c r="AA62" s="143"/>
    </row>
    <row r="63" spans="1:31" s="32" customFormat="1" ht="51.75" x14ac:dyDescent="0.25">
      <c r="A63" s="165">
        <f>A62+1</f>
        <v>14</v>
      </c>
      <c r="B63" s="180" t="s">
        <v>220</v>
      </c>
      <c r="C63" s="166" t="s">
        <v>184</v>
      </c>
      <c r="D63" s="144">
        <v>0</v>
      </c>
      <c r="E63" s="144">
        <v>0</v>
      </c>
      <c r="F63" s="138">
        <f t="shared" si="24"/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43"/>
      <c r="R63" s="138">
        <v>0</v>
      </c>
      <c r="S63" s="138">
        <v>0</v>
      </c>
      <c r="T63" s="143"/>
      <c r="U63" s="138">
        <f t="shared" si="49"/>
        <v>0</v>
      </c>
      <c r="V63" s="140">
        <f t="shared" si="40"/>
        <v>0</v>
      </c>
      <c r="W63" s="143"/>
      <c r="Y63" s="138">
        <v>6968.4800000000005</v>
      </c>
      <c r="Z63" s="140">
        <f t="shared" si="41"/>
        <v>-6968.4800000000005</v>
      </c>
      <c r="AA63" s="143"/>
    </row>
    <row r="64" spans="1:31" s="8" customFormat="1" ht="51.75" x14ac:dyDescent="0.25">
      <c r="A64" s="165">
        <f t="shared" ref="A64:A67" si="56">A63+1</f>
        <v>15</v>
      </c>
      <c r="B64" s="182" t="s">
        <v>221</v>
      </c>
      <c r="C64" s="159" t="s">
        <v>131</v>
      </c>
      <c r="D64" s="144">
        <v>7100</v>
      </c>
      <c r="E64" s="144">
        <v>17595.896000000001</v>
      </c>
      <c r="F64" s="138">
        <f t="shared" si="24"/>
        <v>17595.894999999997</v>
      </c>
      <c r="G64" s="138">
        <v>1183.3330000000001</v>
      </c>
      <c r="H64" s="138">
        <v>1183.3330000000001</v>
      </c>
      <c r="I64" s="138">
        <v>1183.3330000000001</v>
      </c>
      <c r="J64" s="138">
        <v>1183.3330000000001</v>
      </c>
      <c r="K64" s="138">
        <v>3056.2190000000001</v>
      </c>
      <c r="L64" s="138">
        <v>3087.8420000000001</v>
      </c>
      <c r="M64" s="138">
        <v>1510.6569999999999</v>
      </c>
      <c r="N64" s="138">
        <v>1510.6569999999999</v>
      </c>
      <c r="O64" s="138">
        <v>3697.1880000000001</v>
      </c>
      <c r="P64" s="138">
        <v>0</v>
      </c>
      <c r="Q64" s="141">
        <f>F64/E64*100</f>
        <v>99.999994316856586</v>
      </c>
      <c r="R64" s="139">
        <v>17595.895</v>
      </c>
      <c r="S64" s="140">
        <f t="shared" ref="S64:S73" si="57">F64-R64</f>
        <v>0</v>
      </c>
      <c r="T64" s="141">
        <f t="shared" ref="T64:T73" si="58">F64/R64*100</f>
        <v>99.999999999999972</v>
      </c>
      <c r="U64" s="138">
        <f t="shared" si="49"/>
        <v>17595.895</v>
      </c>
      <c r="V64" s="140">
        <f t="shared" si="40"/>
        <v>0</v>
      </c>
      <c r="W64" s="141">
        <f t="shared" ref="W64:W73" si="59">F64/U64*100</f>
        <v>99.999999999999972</v>
      </c>
      <c r="Y64" s="138">
        <v>10667.1</v>
      </c>
      <c r="Z64" s="140">
        <f t="shared" si="41"/>
        <v>6928.7949999999964</v>
      </c>
      <c r="AA64" s="141">
        <f t="shared" ref="AA64:AA71" si="60">F64/Y64*100</f>
        <v>164.95481433566758</v>
      </c>
      <c r="AB64" s="138"/>
      <c r="AC64" s="138"/>
    </row>
    <row r="65" spans="1:29" s="8" customFormat="1" ht="51.75" x14ac:dyDescent="0.25">
      <c r="A65" s="165">
        <f t="shared" si="56"/>
        <v>16</v>
      </c>
      <c r="B65" s="182" t="s">
        <v>185</v>
      </c>
      <c r="C65" s="166" t="s">
        <v>186</v>
      </c>
      <c r="D65" s="144">
        <v>0</v>
      </c>
      <c r="E65" s="144">
        <v>0</v>
      </c>
      <c r="F65" s="138">
        <f t="shared" si="24"/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41"/>
      <c r="R65" s="139">
        <v>0</v>
      </c>
      <c r="S65" s="140">
        <f t="shared" si="57"/>
        <v>0</v>
      </c>
      <c r="T65" s="141"/>
      <c r="U65" s="138">
        <f t="shared" si="49"/>
        <v>0</v>
      </c>
      <c r="V65" s="140">
        <f t="shared" si="40"/>
        <v>0</v>
      </c>
      <c r="W65" s="141"/>
      <c r="Y65" s="138">
        <v>4679.99</v>
      </c>
      <c r="Z65" s="140">
        <f t="shared" si="41"/>
        <v>-4679.99</v>
      </c>
      <c r="AA65" s="141"/>
      <c r="AB65" s="138"/>
      <c r="AC65" s="138"/>
    </row>
    <row r="66" spans="1:29" s="8" customFormat="1" ht="69" x14ac:dyDescent="0.25">
      <c r="A66" s="167">
        <f t="shared" si="56"/>
        <v>17</v>
      </c>
      <c r="B66" s="180" t="s">
        <v>222</v>
      </c>
      <c r="C66" s="168" t="s">
        <v>197</v>
      </c>
      <c r="D66" s="144">
        <v>0</v>
      </c>
      <c r="E66" s="144">
        <v>0</v>
      </c>
      <c r="F66" s="138">
        <f t="shared" ref="F66" si="61">SUM(G66:P66)</f>
        <v>0</v>
      </c>
      <c r="G66" s="138">
        <v>0</v>
      </c>
      <c r="H66" s="138">
        <v>0</v>
      </c>
      <c r="I66" s="138">
        <v>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8">
        <v>0</v>
      </c>
      <c r="Q66" s="141"/>
      <c r="R66" s="139">
        <v>0</v>
      </c>
      <c r="S66" s="140">
        <f t="shared" ref="S66" si="62">F66-R66</f>
        <v>0</v>
      </c>
      <c r="T66" s="141"/>
      <c r="U66" s="138">
        <f t="shared" ref="U66" si="63">R66</f>
        <v>0</v>
      </c>
      <c r="V66" s="140">
        <f t="shared" ref="V66" si="64">F66-U66</f>
        <v>0</v>
      </c>
      <c r="W66" s="141"/>
      <c r="Y66" s="138">
        <v>1728.31</v>
      </c>
      <c r="Z66" s="140">
        <f t="shared" si="41"/>
        <v>-1728.31</v>
      </c>
      <c r="AA66" s="141"/>
      <c r="AB66" s="138"/>
      <c r="AC66" s="138"/>
    </row>
    <row r="67" spans="1:29" s="8" customFormat="1" ht="23.25" x14ac:dyDescent="0.25">
      <c r="A67" s="167">
        <f t="shared" si="56"/>
        <v>18</v>
      </c>
      <c r="B67" s="148" t="s">
        <v>223</v>
      </c>
      <c r="C67" s="159" t="s">
        <v>117</v>
      </c>
      <c r="D67" s="144">
        <f>SUM(D68:D73)</f>
        <v>3644</v>
      </c>
      <c r="E67" s="144">
        <f>SUM(E68:E75)</f>
        <v>4939.6319999999996</v>
      </c>
      <c r="F67" s="138">
        <f t="shared" si="24"/>
        <v>3695.002</v>
      </c>
      <c r="G67" s="138">
        <f t="shared" ref="G67:J67" si="65">SUM(G68:G73)</f>
        <v>0</v>
      </c>
      <c r="H67" s="138">
        <f t="shared" si="65"/>
        <v>57.276000000000003</v>
      </c>
      <c r="I67" s="138">
        <f t="shared" si="65"/>
        <v>466.01499999999999</v>
      </c>
      <c r="J67" s="138">
        <f t="shared" si="65"/>
        <v>231.05500000000001</v>
      </c>
      <c r="K67" s="138">
        <f t="shared" ref="K67:P67" si="66">SUM(K68:K73)</f>
        <v>320.97299999999996</v>
      </c>
      <c r="L67" s="138">
        <f t="shared" si="66"/>
        <v>297.8</v>
      </c>
      <c r="M67" s="138">
        <f t="shared" si="66"/>
        <v>158.9</v>
      </c>
      <c r="N67" s="138">
        <f t="shared" si="66"/>
        <v>738.21600000000001</v>
      </c>
      <c r="O67" s="138">
        <f t="shared" si="66"/>
        <v>954.26</v>
      </c>
      <c r="P67" s="138">
        <f t="shared" si="66"/>
        <v>470.50700000000001</v>
      </c>
      <c r="Q67" s="141">
        <f t="shared" ref="Q67:Q74" si="67">F67/E67*100</f>
        <v>74.8031837189491</v>
      </c>
      <c r="R67" s="138">
        <f>SUM(R68:R75)</f>
        <v>4166.0689999999995</v>
      </c>
      <c r="S67" s="140">
        <f t="shared" si="57"/>
        <v>-471.06699999999955</v>
      </c>
      <c r="T67" s="141">
        <f t="shared" si="58"/>
        <v>88.692770090941849</v>
      </c>
      <c r="U67" s="138">
        <f t="shared" si="49"/>
        <v>4166.0689999999995</v>
      </c>
      <c r="V67" s="140">
        <f t="shared" si="40"/>
        <v>-471.06699999999955</v>
      </c>
      <c r="W67" s="141">
        <f t="shared" si="59"/>
        <v>88.692770090941849</v>
      </c>
      <c r="Y67" s="138">
        <f>SUM(Y68:Y75)</f>
        <v>2852.9180000000001</v>
      </c>
      <c r="Z67" s="140">
        <f t="shared" si="41"/>
        <v>842.08399999999983</v>
      </c>
      <c r="AA67" s="141">
        <f t="shared" si="60"/>
        <v>129.5165861759784</v>
      </c>
      <c r="AB67" s="138">
        <v>5098.8379999999997</v>
      </c>
      <c r="AC67" s="138">
        <f>AB67-Y67</f>
        <v>2245.9199999999996</v>
      </c>
    </row>
    <row r="68" spans="1:29" s="32" customFormat="1" ht="37.5" x14ac:dyDescent="0.25">
      <c r="A68" s="126" t="s">
        <v>198</v>
      </c>
      <c r="B68" s="96" t="s">
        <v>224</v>
      </c>
      <c r="C68" s="80"/>
      <c r="D68" s="145">
        <v>105</v>
      </c>
      <c r="E68" s="145">
        <v>105</v>
      </c>
      <c r="F68" s="142">
        <f t="shared" si="24"/>
        <v>83.574999999999989</v>
      </c>
      <c r="G68" s="142">
        <v>0</v>
      </c>
      <c r="H68" s="142">
        <v>0</v>
      </c>
      <c r="I68" s="142">
        <v>26.256</v>
      </c>
      <c r="J68" s="142">
        <v>5.5039999999999996</v>
      </c>
      <c r="K68" s="142">
        <f>12</f>
        <v>12</v>
      </c>
      <c r="L68" s="142">
        <v>7.8360000000000003</v>
      </c>
      <c r="M68" s="142">
        <v>0</v>
      </c>
      <c r="N68" s="142">
        <f>3.454+9.512</f>
        <v>12.966000000000001</v>
      </c>
      <c r="O68" s="142">
        <v>9.6329999999999991</v>
      </c>
      <c r="P68" s="142">
        <f>9.38</f>
        <v>9.3800000000000008</v>
      </c>
      <c r="Q68" s="143">
        <f t="shared" si="67"/>
        <v>79.595238095238088</v>
      </c>
      <c r="R68" s="91">
        <v>87.52</v>
      </c>
      <c r="S68" s="92">
        <f t="shared" si="57"/>
        <v>-3.9450000000000074</v>
      </c>
      <c r="T68" s="143">
        <f t="shared" si="58"/>
        <v>95.49245886654478</v>
      </c>
      <c r="U68" s="142">
        <f t="shared" si="49"/>
        <v>87.52</v>
      </c>
      <c r="V68" s="92">
        <f t="shared" si="40"/>
        <v>-3.9450000000000074</v>
      </c>
      <c r="W68" s="143">
        <f t="shared" si="59"/>
        <v>95.49245886654478</v>
      </c>
      <c r="Y68" s="142">
        <v>58.140999999999998</v>
      </c>
      <c r="Z68" s="92">
        <f t="shared" si="41"/>
        <v>25.43399999999999</v>
      </c>
      <c r="AA68" s="143">
        <f t="shared" si="60"/>
        <v>143.74537761648406</v>
      </c>
    </row>
    <row r="69" spans="1:29" s="32" customFormat="1" ht="37.5" x14ac:dyDescent="0.25">
      <c r="A69" s="126" t="s">
        <v>199</v>
      </c>
      <c r="B69" s="96" t="s">
        <v>225</v>
      </c>
      <c r="C69" s="80"/>
      <c r="D69" s="145">
        <v>1246.7</v>
      </c>
      <c r="E69" s="145">
        <v>1246.7</v>
      </c>
      <c r="F69" s="142">
        <f t="shared" si="24"/>
        <v>884.21299999999997</v>
      </c>
      <c r="G69" s="142">
        <v>0</v>
      </c>
      <c r="H69" s="142">
        <v>57.276000000000003</v>
      </c>
      <c r="I69" s="142">
        <v>61.982999999999997</v>
      </c>
      <c r="J69" s="142">
        <v>122.77</v>
      </c>
      <c r="K69" s="142">
        <f>136.271</f>
        <v>136.27099999999999</v>
      </c>
      <c r="L69" s="142">
        <v>142.262</v>
      </c>
      <c r="M69" s="142">
        <v>0</v>
      </c>
      <c r="N69" s="142">
        <f>97.286+47.175</f>
        <v>144.46100000000001</v>
      </c>
      <c r="O69" s="142">
        <v>65.724000000000004</v>
      </c>
      <c r="P69" s="142">
        <f>153.466</f>
        <v>153.46600000000001</v>
      </c>
      <c r="Q69" s="143">
        <f t="shared" si="67"/>
        <v>70.924280099462578</v>
      </c>
      <c r="R69" s="91">
        <v>884.21600000000001</v>
      </c>
      <c r="S69" s="92">
        <f t="shared" si="57"/>
        <v>-3.0000000000427463E-3</v>
      </c>
      <c r="T69" s="143">
        <f t="shared" si="58"/>
        <v>99.999660716386046</v>
      </c>
      <c r="U69" s="142">
        <f t="shared" si="49"/>
        <v>884.21600000000001</v>
      </c>
      <c r="V69" s="92">
        <f t="shared" si="40"/>
        <v>-3.0000000000427463E-3</v>
      </c>
      <c r="W69" s="143">
        <f t="shared" si="59"/>
        <v>99.999660716386046</v>
      </c>
      <c r="Y69" s="142">
        <v>884.37599999999998</v>
      </c>
      <c r="Z69" s="92">
        <f t="shared" si="41"/>
        <v>-0.16300000000001091</v>
      </c>
      <c r="AA69" s="143">
        <f t="shared" si="60"/>
        <v>99.981568925434431</v>
      </c>
    </row>
    <row r="70" spans="1:29" s="32" customFormat="1" ht="75" x14ac:dyDescent="0.25">
      <c r="A70" s="126" t="s">
        <v>200</v>
      </c>
      <c r="B70" s="96" t="s">
        <v>226</v>
      </c>
      <c r="C70" s="80"/>
      <c r="D70" s="145">
        <v>292.3</v>
      </c>
      <c r="E70" s="145">
        <v>292.3</v>
      </c>
      <c r="F70" s="142">
        <f t="shared" si="24"/>
        <v>292.29999999999995</v>
      </c>
      <c r="G70" s="142">
        <v>0</v>
      </c>
      <c r="H70" s="142">
        <v>0</v>
      </c>
      <c r="I70" s="142">
        <v>146.136</v>
      </c>
      <c r="J70" s="142">
        <v>0</v>
      </c>
      <c r="K70" s="142">
        <v>0</v>
      </c>
      <c r="L70" s="142">
        <v>0</v>
      </c>
      <c r="M70" s="142">
        <v>0</v>
      </c>
      <c r="N70" s="142">
        <v>0</v>
      </c>
      <c r="O70" s="142">
        <v>146.16399999999999</v>
      </c>
      <c r="P70" s="142">
        <v>0</v>
      </c>
      <c r="Q70" s="143">
        <f t="shared" si="67"/>
        <v>99.999999999999972</v>
      </c>
      <c r="R70" s="91">
        <v>292.3</v>
      </c>
      <c r="S70" s="92">
        <f t="shared" si="57"/>
        <v>0</v>
      </c>
      <c r="T70" s="143">
        <f t="shared" si="58"/>
        <v>99.999999999999972</v>
      </c>
      <c r="U70" s="142">
        <f t="shared" si="49"/>
        <v>292.3</v>
      </c>
      <c r="V70" s="92">
        <f t="shared" si="40"/>
        <v>0</v>
      </c>
      <c r="W70" s="143">
        <f t="shared" si="59"/>
        <v>99.999999999999972</v>
      </c>
      <c r="Y70" s="142">
        <v>292.29999999999995</v>
      </c>
      <c r="Z70" s="92">
        <f t="shared" si="41"/>
        <v>0</v>
      </c>
      <c r="AA70" s="143">
        <f t="shared" si="60"/>
        <v>100</v>
      </c>
    </row>
    <row r="71" spans="1:29" s="32" customFormat="1" ht="56.25" x14ac:dyDescent="0.25">
      <c r="A71" s="126" t="s">
        <v>201</v>
      </c>
      <c r="B71" s="96" t="s">
        <v>227</v>
      </c>
      <c r="C71" s="80"/>
      <c r="D71" s="145">
        <v>0</v>
      </c>
      <c r="E71" s="145">
        <f>334.42+147.702+147.702+295.404+295.404</f>
        <v>1220.6320000000001</v>
      </c>
      <c r="F71" s="142">
        <f t="shared" si="24"/>
        <v>1220.633</v>
      </c>
      <c r="G71" s="142">
        <v>0</v>
      </c>
      <c r="H71" s="142">
        <v>0</v>
      </c>
      <c r="I71" s="142">
        <v>231.64</v>
      </c>
      <c r="J71" s="142">
        <v>102.78100000000001</v>
      </c>
      <c r="K71" s="142">
        <v>147.702</v>
      </c>
      <c r="L71" s="142">
        <v>147.702</v>
      </c>
      <c r="M71" s="142">
        <v>0</v>
      </c>
      <c r="N71" s="142">
        <v>295.404</v>
      </c>
      <c r="O71" s="142">
        <v>0</v>
      </c>
      <c r="P71" s="142">
        <f>295.404</f>
        <v>295.404</v>
      </c>
      <c r="Q71" s="143">
        <f t="shared" si="67"/>
        <v>100.00008192477338</v>
      </c>
      <c r="R71" s="91">
        <v>1220.633</v>
      </c>
      <c r="S71" s="92">
        <f t="shared" si="57"/>
        <v>0</v>
      </c>
      <c r="T71" s="143">
        <f t="shared" si="58"/>
        <v>100</v>
      </c>
      <c r="U71" s="142">
        <f t="shared" si="49"/>
        <v>1220.633</v>
      </c>
      <c r="V71" s="92">
        <f t="shared" si="40"/>
        <v>0</v>
      </c>
      <c r="W71" s="143">
        <f t="shared" si="59"/>
        <v>100</v>
      </c>
      <c r="Y71" s="142">
        <v>618.10100000000011</v>
      </c>
      <c r="Z71" s="92">
        <f t="shared" si="41"/>
        <v>602.53199999999993</v>
      </c>
      <c r="AA71" s="143">
        <f t="shared" si="60"/>
        <v>197.48115599230542</v>
      </c>
    </row>
    <row r="72" spans="1:29" s="32" customFormat="1" ht="56.25" x14ac:dyDescent="0.25">
      <c r="A72" s="126" t="s">
        <v>202</v>
      </c>
      <c r="B72" s="96" t="s">
        <v>228</v>
      </c>
      <c r="C72" s="80"/>
      <c r="D72" s="145">
        <v>2000</v>
      </c>
      <c r="E72" s="145">
        <v>2000</v>
      </c>
      <c r="F72" s="142">
        <f>SUM(G72:P72)</f>
        <v>1189.2809999999999</v>
      </c>
      <c r="G72" s="142">
        <v>0</v>
      </c>
      <c r="H72" s="142">
        <v>0</v>
      </c>
      <c r="I72" s="142">
        <v>0</v>
      </c>
      <c r="J72" s="142">
        <v>0</v>
      </c>
      <c r="K72" s="142">
        <v>0</v>
      </c>
      <c r="L72" s="142">
        <v>0</v>
      </c>
      <c r="M72" s="142">
        <v>158.9</v>
      </c>
      <c r="N72" s="142">
        <v>285.38499999999999</v>
      </c>
      <c r="O72" s="142">
        <f>470.8+261.939</f>
        <v>732.73900000000003</v>
      </c>
      <c r="P72" s="142">
        <v>12.257</v>
      </c>
      <c r="Q72" s="143">
        <f t="shared" si="67"/>
        <v>59.46405</v>
      </c>
      <c r="R72" s="91">
        <v>1606.4</v>
      </c>
      <c r="S72" s="92">
        <f t="shared" si="57"/>
        <v>-417.11900000000014</v>
      </c>
      <c r="T72" s="143">
        <f t="shared" si="58"/>
        <v>74.03392679282868</v>
      </c>
      <c r="U72" s="142">
        <f>R72</f>
        <v>1606.4</v>
      </c>
      <c r="V72" s="92">
        <f t="shared" si="40"/>
        <v>-417.11900000000014</v>
      </c>
      <c r="W72" s="143">
        <f t="shared" si="59"/>
        <v>74.03392679282868</v>
      </c>
      <c r="Y72" s="142">
        <v>0</v>
      </c>
      <c r="Z72" s="92">
        <f t="shared" si="41"/>
        <v>1189.2809999999999</v>
      </c>
      <c r="AA72" s="143"/>
    </row>
    <row r="73" spans="1:29" s="32" customFormat="1" ht="131.25" x14ac:dyDescent="0.25">
      <c r="A73" s="126" t="s">
        <v>203</v>
      </c>
      <c r="B73" s="96" t="s">
        <v>229</v>
      </c>
      <c r="C73" s="80"/>
      <c r="D73" s="145">
        <v>0</v>
      </c>
      <c r="E73" s="145">
        <v>25</v>
      </c>
      <c r="F73" s="142">
        <f>SUM(G73:P73)</f>
        <v>25</v>
      </c>
      <c r="G73" s="142">
        <v>0</v>
      </c>
      <c r="H73" s="142">
        <v>0</v>
      </c>
      <c r="I73" s="142">
        <v>0</v>
      </c>
      <c r="J73" s="142">
        <v>0</v>
      </c>
      <c r="K73" s="142">
        <v>25</v>
      </c>
      <c r="L73" s="142">
        <v>0</v>
      </c>
      <c r="M73" s="142">
        <v>0</v>
      </c>
      <c r="N73" s="142">
        <v>0</v>
      </c>
      <c r="O73" s="142">
        <v>0</v>
      </c>
      <c r="P73" s="142">
        <v>0</v>
      </c>
      <c r="Q73" s="143">
        <f t="shared" si="67"/>
        <v>100</v>
      </c>
      <c r="R73" s="91">
        <v>25</v>
      </c>
      <c r="S73" s="92">
        <f t="shared" si="57"/>
        <v>0</v>
      </c>
      <c r="T73" s="143">
        <f t="shared" si="58"/>
        <v>100</v>
      </c>
      <c r="U73" s="142">
        <f>R73</f>
        <v>25</v>
      </c>
      <c r="V73" s="92">
        <f t="shared" si="40"/>
        <v>0</v>
      </c>
      <c r="W73" s="143">
        <f t="shared" si="59"/>
        <v>100</v>
      </c>
      <c r="Y73" s="142">
        <v>0</v>
      </c>
      <c r="Z73" s="92">
        <f t="shared" si="41"/>
        <v>25</v>
      </c>
      <c r="AA73" s="143"/>
    </row>
    <row r="74" spans="1:29" s="32" customFormat="1" ht="93.75" x14ac:dyDescent="0.25">
      <c r="A74" s="126"/>
      <c r="B74" s="96" t="s">
        <v>206</v>
      </c>
      <c r="C74" s="80"/>
      <c r="D74" s="145">
        <v>0</v>
      </c>
      <c r="E74" s="145">
        <v>50</v>
      </c>
      <c r="F74" s="142">
        <f>SUM(G74:P74)</f>
        <v>0</v>
      </c>
      <c r="G74" s="142">
        <v>0</v>
      </c>
      <c r="H74" s="142">
        <v>0</v>
      </c>
      <c r="I74" s="142">
        <v>0</v>
      </c>
      <c r="J74" s="142">
        <v>0</v>
      </c>
      <c r="K74" s="142">
        <v>0</v>
      </c>
      <c r="L74" s="142">
        <v>0</v>
      </c>
      <c r="M74" s="142">
        <v>0</v>
      </c>
      <c r="N74" s="142">
        <v>0</v>
      </c>
      <c r="O74" s="142">
        <v>0</v>
      </c>
      <c r="P74" s="142">
        <v>0</v>
      </c>
      <c r="Q74" s="143">
        <f t="shared" si="67"/>
        <v>0</v>
      </c>
      <c r="R74" s="91">
        <v>50</v>
      </c>
      <c r="S74" s="92">
        <f t="shared" ref="S74" si="68">F74-R74</f>
        <v>-50</v>
      </c>
      <c r="T74" s="143">
        <f t="shared" ref="T74" si="69">F74/R74*100</f>
        <v>0</v>
      </c>
      <c r="U74" s="142">
        <f>R74</f>
        <v>50</v>
      </c>
      <c r="V74" s="92">
        <f t="shared" ref="V74" si="70">F74-U74</f>
        <v>-50</v>
      </c>
      <c r="W74" s="143">
        <f t="shared" ref="W74" si="71">F74/U74*100</f>
        <v>0</v>
      </c>
      <c r="Y74" s="142">
        <v>0</v>
      </c>
      <c r="Z74" s="92">
        <f t="shared" si="41"/>
        <v>0</v>
      </c>
      <c r="AA74" s="143"/>
    </row>
    <row r="75" spans="1:29" s="32" customFormat="1" ht="56.25" x14ac:dyDescent="0.25">
      <c r="A75" s="126" t="s">
        <v>204</v>
      </c>
      <c r="B75" s="96" t="s">
        <v>230</v>
      </c>
      <c r="C75" s="80"/>
      <c r="D75" s="145">
        <v>0</v>
      </c>
      <c r="E75" s="145">
        <v>0</v>
      </c>
      <c r="F75" s="142">
        <f>SUM(G75:P75)</f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42">
        <v>0</v>
      </c>
      <c r="P75" s="142">
        <v>0</v>
      </c>
      <c r="Q75" s="143"/>
      <c r="R75" s="91">
        <v>0</v>
      </c>
      <c r="S75" s="92"/>
      <c r="T75" s="143"/>
      <c r="U75" s="142">
        <f>R75</f>
        <v>0</v>
      </c>
      <c r="V75" s="92"/>
      <c r="W75" s="143"/>
      <c r="Y75" s="142">
        <v>1000</v>
      </c>
      <c r="Z75" s="92">
        <f t="shared" si="41"/>
        <v>-1000</v>
      </c>
      <c r="AA75" s="143"/>
    </row>
    <row r="76" spans="1:29" s="8" customFormat="1" ht="23.25" x14ac:dyDescent="0.25">
      <c r="A76" s="158"/>
      <c r="B76" s="96"/>
      <c r="C76" s="124"/>
      <c r="D76" s="144"/>
      <c r="E76" s="144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41"/>
      <c r="R76" s="144"/>
      <c r="S76" s="140"/>
      <c r="T76" s="141"/>
      <c r="U76" s="144"/>
      <c r="V76" s="140"/>
      <c r="W76" s="141"/>
      <c r="Y76" s="138"/>
      <c r="Z76" s="92"/>
      <c r="AA76" s="141"/>
    </row>
    <row r="77" spans="1:29" s="41" customFormat="1" ht="39" customHeight="1" x14ac:dyDescent="0.3">
      <c r="A77" s="39"/>
      <c r="B77" s="42" t="s">
        <v>28</v>
      </c>
      <c r="C77" s="160"/>
      <c r="D77" s="130">
        <f>D80+D79</f>
        <v>744122.80200000003</v>
      </c>
      <c r="E77" s="130">
        <f>E80+E79</f>
        <v>786487.26800000004</v>
      </c>
      <c r="F77" s="130">
        <f t="shared" si="24"/>
        <v>650291.43599999999</v>
      </c>
      <c r="G77" s="130">
        <f t="shared" ref="G77:R77" si="72">G80+G79</f>
        <v>46907.102000000006</v>
      </c>
      <c r="H77" s="130">
        <f t="shared" si="72"/>
        <v>54592.909</v>
      </c>
      <c r="I77" s="130">
        <f t="shared" si="72"/>
        <v>57204.304000000004</v>
      </c>
      <c r="J77" s="130">
        <f t="shared" si="72"/>
        <v>57797.366999999998</v>
      </c>
      <c r="K77" s="130">
        <f t="shared" ref="K77:O77" si="73">K80+K79</f>
        <v>79358.313000000009</v>
      </c>
      <c r="L77" s="130">
        <f t="shared" si="73"/>
        <v>145334.226</v>
      </c>
      <c r="M77" s="130">
        <f t="shared" si="73"/>
        <v>28903.632999999998</v>
      </c>
      <c r="N77" s="130">
        <f t="shared" si="73"/>
        <v>40456.436000000002</v>
      </c>
      <c r="O77" s="130">
        <f t="shared" si="73"/>
        <v>77501.403000000006</v>
      </c>
      <c r="P77" s="130">
        <f t="shared" si="72"/>
        <v>62235.742999999995</v>
      </c>
      <c r="Q77" s="68">
        <f>F77/E77*100</f>
        <v>82.683021386177089</v>
      </c>
      <c r="R77" s="130">
        <f t="shared" si="72"/>
        <v>650762.50299999991</v>
      </c>
      <c r="S77" s="67">
        <f>F77-R77</f>
        <v>-471.0669999999227</v>
      </c>
      <c r="T77" s="68">
        <f>F77/R77*100</f>
        <v>99.92761306961782</v>
      </c>
      <c r="U77" s="130">
        <f>U80+U79</f>
        <v>632222.16500000004</v>
      </c>
      <c r="V77" s="67">
        <f>F77-U77</f>
        <v>18069.27099999995</v>
      </c>
      <c r="W77" s="68">
        <f>F77/U77*100</f>
        <v>102.8580571831106</v>
      </c>
      <c r="Y77" s="130">
        <f>Y80+Y79</f>
        <v>614501.48</v>
      </c>
      <c r="Z77" s="67">
        <f>F77-Y77</f>
        <v>35789.956000000006</v>
      </c>
      <c r="AA77" s="68">
        <f>F77/Y77*100</f>
        <v>105.82422616785236</v>
      </c>
    </row>
    <row r="78" spans="1:29" s="11" customFormat="1" ht="23.25" hidden="1" x14ac:dyDescent="0.25">
      <c r="A78" s="10"/>
      <c r="B78" s="121" t="s">
        <v>102</v>
      </c>
      <c r="C78" s="9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68"/>
      <c r="R78" s="146"/>
      <c r="S78" s="140"/>
      <c r="T78" s="141"/>
      <c r="U78" s="146"/>
      <c r="V78" s="67"/>
      <c r="W78" s="68"/>
      <c r="Y78" s="146"/>
      <c r="Z78" s="67"/>
      <c r="AA78" s="68"/>
    </row>
    <row r="79" spans="1:29" s="11" customFormat="1" ht="22.5" hidden="1" x14ac:dyDescent="0.25">
      <c r="A79" s="10"/>
      <c r="B79" s="156" t="s">
        <v>118</v>
      </c>
      <c r="C79" s="19"/>
      <c r="D79" s="130">
        <f>D52</f>
        <v>0</v>
      </c>
      <c r="E79" s="130">
        <f>E52</f>
        <v>0</v>
      </c>
      <c r="F79" s="130">
        <f t="shared" si="24"/>
        <v>0</v>
      </c>
      <c r="G79" s="130">
        <f t="shared" ref="G79:R79" si="74">G52</f>
        <v>0</v>
      </c>
      <c r="H79" s="130">
        <f t="shared" si="74"/>
        <v>0</v>
      </c>
      <c r="I79" s="130">
        <f t="shared" si="74"/>
        <v>0</v>
      </c>
      <c r="J79" s="130">
        <f t="shared" si="74"/>
        <v>0</v>
      </c>
      <c r="K79" s="130">
        <f t="shared" si="74"/>
        <v>0</v>
      </c>
      <c r="L79" s="130">
        <f t="shared" si="74"/>
        <v>0</v>
      </c>
      <c r="M79" s="130">
        <f t="shared" si="74"/>
        <v>0</v>
      </c>
      <c r="N79" s="130">
        <f t="shared" si="74"/>
        <v>0</v>
      </c>
      <c r="O79" s="130">
        <f t="shared" ref="O79" si="75">O52</f>
        <v>0</v>
      </c>
      <c r="P79" s="130">
        <f t="shared" si="74"/>
        <v>0</v>
      </c>
      <c r="Q79" s="68"/>
      <c r="R79" s="130">
        <f t="shared" si="74"/>
        <v>0</v>
      </c>
      <c r="S79" s="67">
        <f>F79-R79</f>
        <v>0</v>
      </c>
      <c r="T79" s="68"/>
      <c r="U79" s="130">
        <f>U52</f>
        <v>0</v>
      </c>
      <c r="V79" s="67">
        <f>F79-U79</f>
        <v>0</v>
      </c>
      <c r="W79" s="68"/>
      <c r="Y79" s="130">
        <f>Y52</f>
        <v>12210.8</v>
      </c>
      <c r="Z79" s="67">
        <f>F79-Y79</f>
        <v>-12210.8</v>
      </c>
      <c r="AA79" s="68">
        <f>F79/Y79*100</f>
        <v>0</v>
      </c>
    </row>
    <row r="80" spans="1:29" s="11" customFormat="1" ht="30" hidden="1" customHeight="1" x14ac:dyDescent="0.25">
      <c r="A80" s="10"/>
      <c r="B80" s="156" t="s">
        <v>73</v>
      </c>
      <c r="C80" s="19"/>
      <c r="D80" s="130">
        <f>D81+D82</f>
        <v>744122.80200000003</v>
      </c>
      <c r="E80" s="130">
        <f>E81+E82</f>
        <v>786487.26800000004</v>
      </c>
      <c r="F80" s="130">
        <f t="shared" si="24"/>
        <v>650291.43599999999</v>
      </c>
      <c r="G80" s="130">
        <f t="shared" ref="G80:R80" si="76">G81+G82</f>
        <v>46907.102000000006</v>
      </c>
      <c r="H80" s="130">
        <f t="shared" si="76"/>
        <v>54592.909</v>
      </c>
      <c r="I80" s="130">
        <f t="shared" si="76"/>
        <v>57204.304000000004</v>
      </c>
      <c r="J80" s="130">
        <f t="shared" si="76"/>
        <v>57797.366999999998</v>
      </c>
      <c r="K80" s="130">
        <f t="shared" ref="K80:O80" si="77">K81+K82</f>
        <v>79358.313000000009</v>
      </c>
      <c r="L80" s="130">
        <f t="shared" si="77"/>
        <v>145334.226</v>
      </c>
      <c r="M80" s="130">
        <f t="shared" si="77"/>
        <v>28903.632999999998</v>
      </c>
      <c r="N80" s="130">
        <f t="shared" si="77"/>
        <v>40456.436000000002</v>
      </c>
      <c r="O80" s="130">
        <f t="shared" si="77"/>
        <v>77501.403000000006</v>
      </c>
      <c r="P80" s="130">
        <f t="shared" si="76"/>
        <v>62235.742999999995</v>
      </c>
      <c r="Q80" s="68">
        <f>F80/E80*100</f>
        <v>82.683021386177089</v>
      </c>
      <c r="R80" s="130">
        <f t="shared" si="76"/>
        <v>650762.50299999991</v>
      </c>
      <c r="S80" s="67">
        <f>F80-R80</f>
        <v>-471.0669999999227</v>
      </c>
      <c r="T80" s="68">
        <f>F80/R80*100</f>
        <v>99.92761306961782</v>
      </c>
      <c r="U80" s="130">
        <f>U81+U82</f>
        <v>632222.16500000004</v>
      </c>
      <c r="V80" s="67">
        <f>F80-U80</f>
        <v>18069.27099999995</v>
      </c>
      <c r="W80" s="68">
        <f>F80/U80*100</f>
        <v>102.8580571831106</v>
      </c>
      <c r="Y80" s="130">
        <f t="shared" ref="Y80" si="78">Y81+Y82</f>
        <v>602290.67999999993</v>
      </c>
      <c r="Z80" s="67">
        <f>F80-Y80</f>
        <v>48000.756000000052</v>
      </c>
      <c r="AA80" s="68">
        <f>F80/Y80*100</f>
        <v>107.96969928208088</v>
      </c>
    </row>
    <row r="81" spans="1:32" s="6" customFormat="1" ht="36" hidden="1" customHeight="1" x14ac:dyDescent="0.25">
      <c r="A81" s="12"/>
      <c r="B81" s="15" t="s">
        <v>107</v>
      </c>
      <c r="C81" s="15"/>
      <c r="D81" s="145">
        <f>D49+D50</f>
        <v>717803.4</v>
      </c>
      <c r="E81" s="145">
        <f>E49+E50+E51+E48</f>
        <v>730932.20000000007</v>
      </c>
      <c r="F81" s="145">
        <f t="shared" si="24"/>
        <v>599477.20000000007</v>
      </c>
      <c r="G81" s="145">
        <f t="shared" ref="G81:N81" si="79">G49+G50+G51</f>
        <v>44804.3</v>
      </c>
      <c r="H81" s="145">
        <f t="shared" si="79"/>
        <v>52312.800000000003</v>
      </c>
      <c r="I81" s="145">
        <f t="shared" si="79"/>
        <v>54480.800000000003</v>
      </c>
      <c r="J81" s="145">
        <f t="shared" si="79"/>
        <v>55203.4</v>
      </c>
      <c r="K81" s="145">
        <f t="shared" si="79"/>
        <v>74617.8</v>
      </c>
      <c r="L81" s="145">
        <f t="shared" si="79"/>
        <v>139119.6</v>
      </c>
      <c r="M81" s="145">
        <f t="shared" si="79"/>
        <v>26610.1</v>
      </c>
      <c r="N81" s="145">
        <f t="shared" si="79"/>
        <v>30223.4</v>
      </c>
      <c r="O81" s="145">
        <f>O49+O50+O51+O48</f>
        <v>61529.8</v>
      </c>
      <c r="P81" s="145">
        <f>P49+P50+P51+P48</f>
        <v>60575.199999999997</v>
      </c>
      <c r="Q81" s="143">
        <f>F81/E81*100</f>
        <v>82.015431800651285</v>
      </c>
      <c r="R81" s="145">
        <f>R49+R50+R51+R48</f>
        <v>599477.19999999995</v>
      </c>
      <c r="S81" s="92">
        <f>F81-R81</f>
        <v>0</v>
      </c>
      <c r="T81" s="143">
        <f>F81/R81*100</f>
        <v>100.00000000000003</v>
      </c>
      <c r="U81" s="145">
        <f>U49+U50+U51</f>
        <v>598381</v>
      </c>
      <c r="V81" s="92">
        <f>F81-U81</f>
        <v>1096.2000000000698</v>
      </c>
      <c r="W81" s="143">
        <f>F81/U81*100</f>
        <v>100.18319431933836</v>
      </c>
      <c r="Y81" s="145">
        <f>Y49+Y50</f>
        <v>540821.6</v>
      </c>
      <c r="Z81" s="92">
        <f>F81-Y81</f>
        <v>58655.600000000093</v>
      </c>
      <c r="AA81" s="143">
        <f>F81/Y81*100</f>
        <v>110.84564669754316</v>
      </c>
    </row>
    <row r="82" spans="1:32" s="6" customFormat="1" ht="36" hidden="1" customHeight="1" x14ac:dyDescent="0.25">
      <c r="A82" s="12"/>
      <c r="B82" s="122" t="s">
        <v>106</v>
      </c>
      <c r="C82" s="15"/>
      <c r="D82" s="145">
        <f>D56+D59+D67+D57+D64</f>
        <v>26319.402000000002</v>
      </c>
      <c r="E82" s="145">
        <f>E56+E59+E67+E57+E64+E58+E53+E54+E55</f>
        <v>55555.068000000007</v>
      </c>
      <c r="F82" s="145">
        <f t="shared" ref="F82:N82" si="80">F56+F59+F67+F57+F64+F58</f>
        <v>43568.994999999995</v>
      </c>
      <c r="G82" s="145">
        <f t="shared" si="80"/>
        <v>2102.8020000000001</v>
      </c>
      <c r="H82" s="145">
        <f t="shared" si="80"/>
        <v>2280.1089999999999</v>
      </c>
      <c r="I82" s="145">
        <f t="shared" si="80"/>
        <v>2723.5039999999999</v>
      </c>
      <c r="J82" s="145">
        <f t="shared" si="80"/>
        <v>2593.9670000000001</v>
      </c>
      <c r="K82" s="145">
        <f t="shared" si="80"/>
        <v>4740.5129999999999</v>
      </c>
      <c r="L82" s="145">
        <f t="shared" si="80"/>
        <v>6214.6260000000002</v>
      </c>
      <c r="M82" s="145">
        <f t="shared" si="80"/>
        <v>2293.5329999999999</v>
      </c>
      <c r="N82" s="145">
        <f t="shared" si="80"/>
        <v>10233.036</v>
      </c>
      <c r="O82" s="145">
        <f>O56+O59+O67+O57+O64+O58+O53+O54+O55</f>
        <v>15971.602999999999</v>
      </c>
      <c r="P82" s="145">
        <f>P56+P59+P67+P57+P64+P58+P53+P54+P55</f>
        <v>1660.5430000000001</v>
      </c>
      <c r="Q82" s="143">
        <f>F82/E82*100</f>
        <v>78.42487925674034</v>
      </c>
      <c r="R82" s="145">
        <f>R56+R59+R67+R57+R64+R58+R53+R54+R55</f>
        <v>51285.303000000007</v>
      </c>
      <c r="S82" s="92">
        <f>F82-R82</f>
        <v>-7716.3080000000118</v>
      </c>
      <c r="T82" s="143">
        <f>F82/R82*100</f>
        <v>84.954153434561917</v>
      </c>
      <c r="U82" s="145">
        <f>U56+U59+U67+U57+U64</f>
        <v>33841.165000000001</v>
      </c>
      <c r="V82" s="92">
        <f>F82-U82</f>
        <v>9727.8299999999945</v>
      </c>
      <c r="W82" s="143">
        <f>F82/U82*100</f>
        <v>128.74555293826319</v>
      </c>
      <c r="Y82" s="145">
        <f>Y56+Y59+Y67+Y57+Y64+Y62+Y58+Y53+Y54+Y55+Y63+Y65+Y66</f>
        <v>61469.08</v>
      </c>
      <c r="Z82" s="92">
        <f>F82-Y82</f>
        <v>-17900.085000000006</v>
      </c>
      <c r="AA82" s="143">
        <f>F82/Y82*100</f>
        <v>70.879530001099738</v>
      </c>
    </row>
    <row r="83" spans="1:32" s="6" customFormat="1" ht="23.25" x14ac:dyDescent="0.25">
      <c r="A83" s="12"/>
      <c r="B83" s="34"/>
      <c r="C83" s="1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3"/>
      <c r="R83" s="145"/>
      <c r="S83" s="92"/>
      <c r="T83" s="143"/>
      <c r="U83" s="145"/>
      <c r="V83" s="92"/>
      <c r="W83" s="143"/>
      <c r="Y83" s="145"/>
      <c r="Z83" s="92"/>
      <c r="AA83" s="143"/>
    </row>
    <row r="84" spans="1:32" s="107" customFormat="1" ht="31.5" customHeight="1" x14ac:dyDescent="0.3">
      <c r="A84" s="100"/>
      <c r="B84" s="101" t="s">
        <v>27</v>
      </c>
      <c r="C84" s="102"/>
      <c r="D84" s="103">
        <f>D77+D47</f>
        <v>4495744.1909999996</v>
      </c>
      <c r="E84" s="103">
        <f>E77+E47</f>
        <v>4538108.6569999997</v>
      </c>
      <c r="F84" s="103">
        <f t="shared" si="24"/>
        <v>3662909.3229999994</v>
      </c>
      <c r="G84" s="103">
        <f t="shared" ref="G84:R84" si="81">G77+G47</f>
        <v>284202.34499999997</v>
      </c>
      <c r="H84" s="103">
        <f t="shared" si="81"/>
        <v>359907.94099999993</v>
      </c>
      <c r="I84" s="103">
        <f t="shared" si="81"/>
        <v>333994.50400000002</v>
      </c>
      <c r="J84" s="103">
        <f t="shared" si="81"/>
        <v>368343.10199999996</v>
      </c>
      <c r="K84" s="103">
        <f t="shared" si="81"/>
        <v>387851.82199999999</v>
      </c>
      <c r="L84" s="103">
        <f t="shared" si="81"/>
        <v>439814.652</v>
      </c>
      <c r="M84" s="103">
        <f t="shared" si="81"/>
        <v>352295.92200000002</v>
      </c>
      <c r="N84" s="103">
        <f t="shared" si="81"/>
        <v>350748.72600000002</v>
      </c>
      <c r="O84" s="103">
        <f t="shared" ref="O84" si="82">O77+O47</f>
        <v>347817.62999999995</v>
      </c>
      <c r="P84" s="103">
        <f t="shared" si="81"/>
        <v>437932.67900000018</v>
      </c>
      <c r="Q84" s="105">
        <f>F84/E84*100</f>
        <v>80.714447357931547</v>
      </c>
      <c r="R84" s="103">
        <f t="shared" si="81"/>
        <v>3495426.281</v>
      </c>
      <c r="S84" s="104">
        <f>F84-R84</f>
        <v>167483.04199999943</v>
      </c>
      <c r="T84" s="105">
        <f>F84/R84*100</f>
        <v>104.79149118121538</v>
      </c>
      <c r="U84" s="103">
        <f>U77+U47</f>
        <v>3758573.3224999993</v>
      </c>
      <c r="V84" s="104">
        <f>F84-U84</f>
        <v>-95663.999499999918</v>
      </c>
      <c r="W84" s="105">
        <f>F84/U84*100</f>
        <v>97.454778946912512</v>
      </c>
      <c r="Y84" s="103">
        <f>Y77+Y47</f>
        <v>3199418.1589999995</v>
      </c>
      <c r="Z84" s="104">
        <f>F84-Y84</f>
        <v>463491.16399999987</v>
      </c>
      <c r="AA84" s="105">
        <f>F84/Y84*100</f>
        <v>114.48673292974205</v>
      </c>
      <c r="AB84" s="103">
        <v>3199418.159</v>
      </c>
      <c r="AC84" s="106">
        <f>AB84-Y84</f>
        <v>0</v>
      </c>
      <c r="AF84" s="106">
        <f>2708373.649-R84</f>
        <v>-787052.63199999975</v>
      </c>
    </row>
    <row r="85" spans="1:32" s="8" customFormat="1" ht="20.25" customHeight="1" x14ac:dyDescent="0.25">
      <c r="A85" s="187" t="s">
        <v>9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9"/>
    </row>
    <row r="86" spans="1:32" s="43" customFormat="1" ht="27" customHeight="1" x14ac:dyDescent="0.3">
      <c r="A86" s="158">
        <v>1</v>
      </c>
      <c r="B86" s="131" t="s">
        <v>12</v>
      </c>
      <c r="C86" s="124" t="s">
        <v>21</v>
      </c>
      <c r="D86" s="144">
        <f>D87+D88</f>
        <v>70446.198000000004</v>
      </c>
      <c r="E86" s="144">
        <f t="shared" ref="E86" si="83">D86</f>
        <v>70446.198000000004</v>
      </c>
      <c r="F86" s="138">
        <f t="shared" ref="F86:F112" si="84">SUM(G86:P86)</f>
        <v>79180.804000000018</v>
      </c>
      <c r="G86" s="138">
        <f t="shared" ref="G86:R86" si="85">G87+G88</f>
        <v>3860.3049999999998</v>
      </c>
      <c r="H86" s="138">
        <f t="shared" ref="H86:O86" si="86">H87+H88</f>
        <v>8760.2960000000003</v>
      </c>
      <c r="I86" s="138">
        <f t="shared" si="86"/>
        <v>5848.7789999999995</v>
      </c>
      <c r="J86" s="138">
        <f t="shared" si="86"/>
        <v>5691.4560000000001</v>
      </c>
      <c r="K86" s="138">
        <f t="shared" si="86"/>
        <v>5209.8320000000003</v>
      </c>
      <c r="L86" s="138">
        <f t="shared" si="86"/>
        <v>4482.402</v>
      </c>
      <c r="M86" s="138">
        <f t="shared" si="86"/>
        <v>2835.93</v>
      </c>
      <c r="N86" s="138">
        <f t="shared" si="86"/>
        <v>5127.2709999999997</v>
      </c>
      <c r="O86" s="138">
        <f t="shared" si="86"/>
        <v>29524.797000000002</v>
      </c>
      <c r="P86" s="138">
        <f t="shared" si="85"/>
        <v>7839.7359999999999</v>
      </c>
      <c r="Q86" s="141">
        <f>F86/E86*100</f>
        <v>112.39897432080012</v>
      </c>
      <c r="R86" s="139">
        <f t="shared" si="85"/>
        <v>58705.165000000008</v>
      </c>
      <c r="S86" s="140">
        <f t="shared" ref="S86:S100" si="87">F86-R86</f>
        <v>20475.63900000001</v>
      </c>
      <c r="T86" s="141">
        <f>F86/R86*100</f>
        <v>134.87876918496013</v>
      </c>
      <c r="U86" s="140">
        <f t="shared" ref="U86" si="88">U87+U88</f>
        <v>58705.165000000008</v>
      </c>
      <c r="V86" s="140">
        <f t="shared" ref="V86:V100" si="89">F86-U86</f>
        <v>20475.63900000001</v>
      </c>
      <c r="W86" s="141">
        <f>F86/U86*100</f>
        <v>134.87876918496013</v>
      </c>
      <c r="Y86" s="138">
        <f t="shared" ref="Y86" si="90">Y87+Y88</f>
        <v>59219.142000000007</v>
      </c>
      <c r="Z86" s="140">
        <f t="shared" ref="Z86:Z100" si="91">F86-Y86</f>
        <v>19961.662000000011</v>
      </c>
      <c r="AA86" s="141">
        <f t="shared" ref="AA86:AA97" si="92">F86/Y86*100</f>
        <v>133.70812430885948</v>
      </c>
    </row>
    <row r="87" spans="1:32" s="46" customFormat="1" ht="39" x14ac:dyDescent="0.3">
      <c r="A87" s="126" t="s">
        <v>123</v>
      </c>
      <c r="B87" s="79" t="s">
        <v>119</v>
      </c>
      <c r="C87" s="15" t="s">
        <v>120</v>
      </c>
      <c r="D87" s="145">
        <v>70446.198000000004</v>
      </c>
      <c r="E87" s="145">
        <v>70446.198000000004</v>
      </c>
      <c r="F87" s="142">
        <f t="shared" si="84"/>
        <v>46660.323000000004</v>
      </c>
      <c r="G87" s="142">
        <v>3552.8009999999999</v>
      </c>
      <c r="H87" s="142">
        <v>6339.2150000000001</v>
      </c>
      <c r="I87" s="142">
        <v>5401.0349999999999</v>
      </c>
      <c r="J87" s="142">
        <v>4981.4170000000004</v>
      </c>
      <c r="K87" s="142">
        <v>4721.1689999999999</v>
      </c>
      <c r="L87" s="142">
        <v>2852.4169999999999</v>
      </c>
      <c r="M87" s="142">
        <v>2398.2049999999999</v>
      </c>
      <c r="N87" s="142">
        <v>3722.864</v>
      </c>
      <c r="O87" s="142">
        <v>6525.86</v>
      </c>
      <c r="P87" s="142">
        <v>6165.34</v>
      </c>
      <c r="Q87" s="143">
        <f>F87/E87*100</f>
        <v>66.235402796329765</v>
      </c>
      <c r="R87" s="91">
        <v>58705.165000000008</v>
      </c>
      <c r="S87" s="92">
        <f t="shared" si="87"/>
        <v>-12044.842000000004</v>
      </c>
      <c r="T87" s="143">
        <f>F87/R87*100</f>
        <v>79.482483355595718</v>
      </c>
      <c r="U87" s="92">
        <f>E87/12*10</f>
        <v>58705.165000000008</v>
      </c>
      <c r="V87" s="92">
        <f t="shared" si="89"/>
        <v>-12044.842000000004</v>
      </c>
      <c r="W87" s="143">
        <f>F87/U87*100</f>
        <v>79.482483355595718</v>
      </c>
      <c r="Y87" s="142">
        <v>38854.931000000004</v>
      </c>
      <c r="Z87" s="92">
        <f t="shared" si="91"/>
        <v>7805.3919999999998</v>
      </c>
      <c r="AA87" s="143">
        <f t="shared" si="92"/>
        <v>120.08854937871334</v>
      </c>
    </row>
    <row r="88" spans="1:32" s="46" customFormat="1" ht="23.25" x14ac:dyDescent="0.3">
      <c r="A88" s="126" t="s">
        <v>124</v>
      </c>
      <c r="B88" s="79" t="s">
        <v>121</v>
      </c>
      <c r="C88" s="15" t="s">
        <v>122</v>
      </c>
      <c r="D88" s="145">
        <v>0</v>
      </c>
      <c r="E88" s="145">
        <v>0</v>
      </c>
      <c r="F88" s="142">
        <f t="shared" si="84"/>
        <v>32520.481000000003</v>
      </c>
      <c r="G88" s="142">
        <v>307.50400000000002</v>
      </c>
      <c r="H88" s="142">
        <v>2421.0810000000001</v>
      </c>
      <c r="I88" s="142">
        <v>447.74400000000003</v>
      </c>
      <c r="J88" s="142">
        <v>710.03899999999999</v>
      </c>
      <c r="K88" s="142">
        <v>488.66300000000001</v>
      </c>
      <c r="L88" s="142">
        <v>1629.9849999999999</v>
      </c>
      <c r="M88" s="142">
        <v>437.72500000000002</v>
      </c>
      <c r="N88" s="142">
        <v>1404.4069999999999</v>
      </c>
      <c r="O88" s="142">
        <v>22998.937000000002</v>
      </c>
      <c r="P88" s="142">
        <v>1674.396</v>
      </c>
      <c r="Q88" s="143"/>
      <c r="R88" s="91">
        <v>0</v>
      </c>
      <c r="S88" s="92">
        <f t="shared" si="87"/>
        <v>32520.481000000003</v>
      </c>
      <c r="T88" s="143"/>
      <c r="U88" s="92"/>
      <c r="V88" s="92">
        <f t="shared" si="89"/>
        <v>32520.481000000003</v>
      </c>
      <c r="W88" s="143"/>
      <c r="Y88" s="142">
        <v>20364.210999999999</v>
      </c>
      <c r="Z88" s="92">
        <f t="shared" si="91"/>
        <v>12156.270000000004</v>
      </c>
      <c r="AA88" s="143">
        <f t="shared" si="92"/>
        <v>159.69428425191629</v>
      </c>
    </row>
    <row r="89" spans="1:32" s="43" customFormat="1" ht="23.25" x14ac:dyDescent="0.3">
      <c r="A89" s="158">
        <v>2</v>
      </c>
      <c r="B89" s="90" t="s">
        <v>31</v>
      </c>
      <c r="C89" s="124" t="s">
        <v>30</v>
      </c>
      <c r="D89" s="144">
        <v>2267.6</v>
      </c>
      <c r="E89" s="144">
        <v>2267.6</v>
      </c>
      <c r="F89" s="138">
        <f t="shared" si="84"/>
        <v>1539.1610000000001</v>
      </c>
      <c r="G89" s="138">
        <v>68.402000000000001</v>
      </c>
      <c r="H89" s="138">
        <v>214.45699999999999</v>
      </c>
      <c r="I89" s="138">
        <v>85.447999999999993</v>
      </c>
      <c r="J89" s="138">
        <v>196.76599999999999</v>
      </c>
      <c r="K89" s="138">
        <v>289.00900000000001</v>
      </c>
      <c r="L89" s="138">
        <v>97.941000000000003</v>
      </c>
      <c r="M89" s="138">
        <v>108.371</v>
      </c>
      <c r="N89" s="138">
        <v>285.29300000000001</v>
      </c>
      <c r="O89" s="138">
        <v>86.402000000000001</v>
      </c>
      <c r="P89" s="138">
        <v>107.072</v>
      </c>
      <c r="Q89" s="141">
        <f t="shared" ref="Q89:Q97" si="93">F89/E89*100</f>
        <v>67.87621273593227</v>
      </c>
      <c r="R89" s="139">
        <v>1449.54</v>
      </c>
      <c r="S89" s="140">
        <f t="shared" si="87"/>
        <v>89.621000000000095</v>
      </c>
      <c r="T89" s="141">
        <f t="shared" ref="T89:T97" si="94">F89/R89*100</f>
        <v>106.18272003532157</v>
      </c>
      <c r="U89" s="140">
        <f t="shared" ref="U89:U92" si="95">E89/12*10</f>
        <v>1889.6666666666667</v>
      </c>
      <c r="V89" s="140">
        <f t="shared" si="89"/>
        <v>-350.50566666666668</v>
      </c>
      <c r="W89" s="141">
        <f t="shared" ref="W89:W97" si="96">F89/U89*100</f>
        <v>81.451455283118719</v>
      </c>
      <c r="Y89" s="138">
        <v>717.58200000000011</v>
      </c>
      <c r="Z89" s="140">
        <f t="shared" si="91"/>
        <v>821.57899999999995</v>
      </c>
      <c r="AA89" s="141">
        <f t="shared" si="92"/>
        <v>214.49269909222917</v>
      </c>
    </row>
    <row r="90" spans="1:32" s="43" customFormat="1" ht="39" x14ac:dyDescent="0.3">
      <c r="A90" s="158">
        <f t="shared" ref="A90:A93" si="97">A89+1</f>
        <v>3</v>
      </c>
      <c r="B90" s="90" t="s">
        <v>86</v>
      </c>
      <c r="C90" s="124">
        <v>21110000</v>
      </c>
      <c r="D90" s="144">
        <v>160</v>
      </c>
      <c r="E90" s="144">
        <v>160</v>
      </c>
      <c r="F90" s="138">
        <f t="shared" si="84"/>
        <v>79.931999999999988</v>
      </c>
      <c r="G90" s="138">
        <v>0</v>
      </c>
      <c r="H90" s="138">
        <v>0</v>
      </c>
      <c r="I90" s="138">
        <v>13.731999999999999</v>
      </c>
      <c r="J90" s="138">
        <v>0</v>
      </c>
      <c r="K90" s="138">
        <v>0</v>
      </c>
      <c r="L90" s="138">
        <v>26.204999999999998</v>
      </c>
      <c r="M90" s="138">
        <v>39.994999999999997</v>
      </c>
      <c r="N90" s="138">
        <v>0</v>
      </c>
      <c r="O90" s="138">
        <v>0</v>
      </c>
      <c r="P90" s="138">
        <v>0</v>
      </c>
      <c r="Q90" s="141">
        <f t="shared" si="93"/>
        <v>49.957499999999996</v>
      </c>
      <c r="R90" s="139">
        <v>79.5</v>
      </c>
      <c r="S90" s="140">
        <f t="shared" si="87"/>
        <v>0.43199999999998795</v>
      </c>
      <c r="T90" s="141">
        <f t="shared" si="94"/>
        <v>100.54339622641508</v>
      </c>
      <c r="U90" s="140">
        <f t="shared" si="95"/>
        <v>133.33333333333334</v>
      </c>
      <c r="V90" s="140">
        <f t="shared" si="89"/>
        <v>-53.401333333333355</v>
      </c>
      <c r="W90" s="141">
        <f t="shared" si="96"/>
        <v>59.948999999999984</v>
      </c>
      <c r="Y90" s="138">
        <v>63.779000000000003</v>
      </c>
      <c r="Z90" s="140">
        <f t="shared" si="91"/>
        <v>16.152999999999984</v>
      </c>
      <c r="AA90" s="141">
        <f t="shared" si="92"/>
        <v>125.32651813292775</v>
      </c>
    </row>
    <row r="91" spans="1:32" s="43" customFormat="1" ht="58.5" x14ac:dyDescent="0.3">
      <c r="A91" s="158">
        <f t="shared" si="97"/>
        <v>4</v>
      </c>
      <c r="B91" s="131" t="s">
        <v>26</v>
      </c>
      <c r="C91" s="124" t="s">
        <v>25</v>
      </c>
      <c r="D91" s="144">
        <v>15.7</v>
      </c>
      <c r="E91" s="144">
        <v>140.69999999999999</v>
      </c>
      <c r="F91" s="138">
        <f t="shared" si="84"/>
        <v>206.54599999999996</v>
      </c>
      <c r="G91" s="138">
        <v>36.722000000000001</v>
      </c>
      <c r="H91" s="138">
        <v>1.931</v>
      </c>
      <c r="I91" s="138">
        <v>93.322999999999993</v>
      </c>
      <c r="J91" s="138">
        <v>2.0529999999999999</v>
      </c>
      <c r="K91" s="138">
        <v>7.9269999999999996</v>
      </c>
      <c r="L91" s="138">
        <v>5.2</v>
      </c>
      <c r="M91" s="138">
        <v>0.2</v>
      </c>
      <c r="N91" s="138">
        <v>0.81299999999999994</v>
      </c>
      <c r="O91" s="138">
        <v>14.423</v>
      </c>
      <c r="P91" s="138">
        <v>43.954000000000001</v>
      </c>
      <c r="Q91" s="141">
        <f t="shared" si="93"/>
        <v>146.79886282871357</v>
      </c>
      <c r="R91" s="139">
        <v>152.69999999999999</v>
      </c>
      <c r="S91" s="140">
        <f t="shared" si="87"/>
        <v>53.845999999999975</v>
      </c>
      <c r="T91" s="141">
        <f t="shared" si="94"/>
        <v>135.26260641781269</v>
      </c>
      <c r="U91" s="140">
        <f t="shared" si="95"/>
        <v>117.25</v>
      </c>
      <c r="V91" s="140">
        <f t="shared" si="89"/>
        <v>89.295999999999964</v>
      </c>
      <c r="W91" s="141">
        <f t="shared" si="96"/>
        <v>176.15863539445627</v>
      </c>
      <c r="Y91" s="138">
        <v>13.379999999999999</v>
      </c>
      <c r="Z91" s="140">
        <f t="shared" si="91"/>
        <v>193.16599999999997</v>
      </c>
      <c r="AA91" s="141">
        <f t="shared" si="92"/>
        <v>1543.692077727952</v>
      </c>
    </row>
    <row r="92" spans="1:32" s="43" customFormat="1" ht="64.5" customHeight="1" x14ac:dyDescent="0.3">
      <c r="A92" s="158">
        <f t="shared" si="97"/>
        <v>5</v>
      </c>
      <c r="B92" s="131" t="s">
        <v>67</v>
      </c>
      <c r="C92" s="124" t="s">
        <v>68</v>
      </c>
      <c r="D92" s="144">
        <v>0.4</v>
      </c>
      <c r="E92" s="144">
        <v>0.4</v>
      </c>
      <c r="F92" s="138">
        <f t="shared" si="84"/>
        <v>0.17400000000000004</v>
      </c>
      <c r="G92" s="138">
        <v>3.5000000000000003E-2</v>
      </c>
      <c r="H92" s="138">
        <v>2.4E-2</v>
      </c>
      <c r="I92" s="138">
        <v>1.7000000000000001E-2</v>
      </c>
      <c r="J92" s="138">
        <v>1.4E-2</v>
      </c>
      <c r="K92" s="138">
        <v>2.7E-2</v>
      </c>
      <c r="L92" s="138">
        <v>1.7999999999999999E-2</v>
      </c>
      <c r="M92" s="138">
        <v>1.4E-2</v>
      </c>
      <c r="N92" s="138">
        <v>8.9999999999999993E-3</v>
      </c>
      <c r="O92" s="138">
        <v>1.6E-2</v>
      </c>
      <c r="P92" s="138">
        <v>0</v>
      </c>
      <c r="Q92" s="141">
        <f t="shared" si="93"/>
        <v>43.500000000000014</v>
      </c>
      <c r="R92" s="139">
        <v>0.17399999999999999</v>
      </c>
      <c r="S92" s="140">
        <f t="shared" si="87"/>
        <v>0</v>
      </c>
      <c r="T92" s="141">
        <f t="shared" si="94"/>
        <v>100.00000000000003</v>
      </c>
      <c r="U92" s="140">
        <f t="shared" si="95"/>
        <v>0.33333333333333331</v>
      </c>
      <c r="V92" s="140">
        <f t="shared" si="89"/>
        <v>-0.15933333333333327</v>
      </c>
      <c r="W92" s="141">
        <f t="shared" si="96"/>
        <v>52.20000000000001</v>
      </c>
      <c r="Y92" s="138">
        <v>0.379</v>
      </c>
      <c r="Z92" s="140">
        <f t="shared" si="91"/>
        <v>-0.20499999999999996</v>
      </c>
      <c r="AA92" s="141">
        <f t="shared" si="92"/>
        <v>45.910290237467031</v>
      </c>
    </row>
    <row r="93" spans="1:32" s="24" customFormat="1" ht="35.25" customHeight="1" x14ac:dyDescent="0.3">
      <c r="A93" s="10">
        <f t="shared" si="97"/>
        <v>6</v>
      </c>
      <c r="B93" s="14" t="s">
        <v>10</v>
      </c>
      <c r="C93" s="7"/>
      <c r="D93" s="130">
        <f>SUM(D94:D97)</f>
        <v>90003.199999999997</v>
      </c>
      <c r="E93" s="130">
        <f>SUM(E94:E97)</f>
        <v>98303.2</v>
      </c>
      <c r="F93" s="130">
        <f>SUM(G93:P93)</f>
        <v>69414.387999999992</v>
      </c>
      <c r="G93" s="130">
        <f t="shared" ref="G93:R93" si="98">SUM(G94:G97)</f>
        <v>8655.4589999999989</v>
      </c>
      <c r="H93" s="130">
        <f t="shared" si="98"/>
        <v>1630.1189999999999</v>
      </c>
      <c r="I93" s="130">
        <f t="shared" si="98"/>
        <v>10702.722</v>
      </c>
      <c r="J93" s="130">
        <f t="shared" si="98"/>
        <v>5034.759</v>
      </c>
      <c r="K93" s="130">
        <f t="shared" ref="K93:O93" si="99">SUM(K94:K97)</f>
        <v>5015.4139999999998</v>
      </c>
      <c r="L93" s="130">
        <f t="shared" si="99"/>
        <v>13135.803</v>
      </c>
      <c r="M93" s="130">
        <f t="shared" si="99"/>
        <v>3736.8130000000001</v>
      </c>
      <c r="N93" s="130">
        <f t="shared" si="99"/>
        <v>11192.501</v>
      </c>
      <c r="O93" s="130">
        <f t="shared" si="99"/>
        <v>6998.9230000000007</v>
      </c>
      <c r="P93" s="130">
        <f t="shared" si="98"/>
        <v>3311.875</v>
      </c>
      <c r="Q93" s="68">
        <f t="shared" si="93"/>
        <v>70.612541605970094</v>
      </c>
      <c r="R93" s="130">
        <f t="shared" si="98"/>
        <v>65917.100000000006</v>
      </c>
      <c r="S93" s="130">
        <f t="shared" si="87"/>
        <v>3497.2879999999859</v>
      </c>
      <c r="T93" s="68">
        <f t="shared" si="94"/>
        <v>105.30558534887</v>
      </c>
      <c r="U93" s="130">
        <f>SUM(U94:U97)</f>
        <v>81919.333333333343</v>
      </c>
      <c r="V93" s="67">
        <f t="shared" si="89"/>
        <v>-12504.945333333351</v>
      </c>
      <c r="W93" s="68">
        <f t="shared" si="96"/>
        <v>84.735049927164098</v>
      </c>
      <c r="Y93" s="130">
        <f>SUM(Y94:Y98)</f>
        <v>64130.890000000007</v>
      </c>
      <c r="Z93" s="67">
        <f t="shared" si="91"/>
        <v>5283.497999999985</v>
      </c>
      <c r="AA93" s="68">
        <f t="shared" si="92"/>
        <v>108.23861636724514</v>
      </c>
      <c r="AB93" s="44"/>
    </row>
    <row r="94" spans="1:32" s="46" customFormat="1" ht="39" x14ac:dyDescent="0.3">
      <c r="A94" s="12" t="s">
        <v>132</v>
      </c>
      <c r="B94" s="79" t="s">
        <v>142</v>
      </c>
      <c r="C94" s="15" t="s">
        <v>65</v>
      </c>
      <c r="D94" s="145">
        <v>3.2</v>
      </c>
      <c r="E94" s="145">
        <v>3.2</v>
      </c>
      <c r="F94" s="142">
        <f t="shared" si="84"/>
        <v>2.2000000000000002</v>
      </c>
      <c r="G94" s="142">
        <v>0</v>
      </c>
      <c r="H94" s="142">
        <v>0</v>
      </c>
      <c r="I94" s="142">
        <v>0</v>
      </c>
      <c r="J94" s="142">
        <v>0</v>
      </c>
      <c r="K94" s="142">
        <v>0</v>
      </c>
      <c r="L94" s="142">
        <v>2.2000000000000002</v>
      </c>
      <c r="M94" s="142">
        <v>0</v>
      </c>
      <c r="N94" s="142">
        <v>0</v>
      </c>
      <c r="O94" s="142">
        <v>0</v>
      </c>
      <c r="P94" s="142">
        <v>0</v>
      </c>
      <c r="Q94" s="143">
        <f t="shared" si="93"/>
        <v>68.75</v>
      </c>
      <c r="R94" s="91">
        <v>2.2000000000000002</v>
      </c>
      <c r="S94" s="92">
        <f t="shared" si="87"/>
        <v>0</v>
      </c>
      <c r="T94" s="143">
        <f t="shared" si="94"/>
        <v>100</v>
      </c>
      <c r="U94" s="92">
        <f t="shared" ref="U94:U97" si="100">E94/12*10</f>
        <v>2.6666666666666665</v>
      </c>
      <c r="V94" s="92">
        <f t="shared" si="89"/>
        <v>-0.46666666666666634</v>
      </c>
      <c r="W94" s="143">
        <f t="shared" si="96"/>
        <v>82.5</v>
      </c>
      <c r="Y94" s="142">
        <v>3.2</v>
      </c>
      <c r="Z94" s="92">
        <f t="shared" si="91"/>
        <v>-1</v>
      </c>
      <c r="AA94" s="143">
        <f t="shared" si="92"/>
        <v>68.75</v>
      </c>
    </row>
    <row r="95" spans="1:32" s="46" customFormat="1" ht="33" customHeight="1" x14ac:dyDescent="0.3">
      <c r="A95" s="12" t="s">
        <v>133</v>
      </c>
      <c r="B95" s="79" t="s">
        <v>45</v>
      </c>
      <c r="C95" s="15" t="s">
        <v>44</v>
      </c>
      <c r="D95" s="145">
        <v>0</v>
      </c>
      <c r="E95" s="145">
        <v>12100</v>
      </c>
      <c r="F95" s="142">
        <f t="shared" si="84"/>
        <v>13884.539999999999</v>
      </c>
      <c r="G95" s="142">
        <v>6037.933</v>
      </c>
      <c r="H95" s="142">
        <v>25.300999999999998</v>
      </c>
      <c r="I95" s="142">
        <v>2133.0540000000001</v>
      </c>
      <c r="J95" s="142">
        <v>152.38399999999999</v>
      </c>
      <c r="K95" s="142">
        <v>501.82100000000003</v>
      </c>
      <c r="L95" s="142">
        <v>1883.74</v>
      </c>
      <c r="M95" s="142">
        <v>1009.088</v>
      </c>
      <c r="N95" s="142">
        <v>281.81700000000001</v>
      </c>
      <c r="O95" s="142">
        <v>1550.6010000000001</v>
      </c>
      <c r="P95" s="142">
        <v>308.80099999999999</v>
      </c>
      <c r="Q95" s="143">
        <f t="shared" si="93"/>
        <v>114.7482644628099</v>
      </c>
      <c r="R95" s="91">
        <v>12100</v>
      </c>
      <c r="S95" s="92">
        <f t="shared" si="87"/>
        <v>1784.5399999999991</v>
      </c>
      <c r="T95" s="143">
        <f t="shared" si="94"/>
        <v>114.7482644628099</v>
      </c>
      <c r="U95" s="92">
        <f t="shared" si="100"/>
        <v>10083.333333333334</v>
      </c>
      <c r="V95" s="92">
        <f t="shared" si="89"/>
        <v>3801.2066666666651</v>
      </c>
      <c r="W95" s="143">
        <f t="shared" si="96"/>
        <v>137.69791735537189</v>
      </c>
      <c r="Y95" s="142">
        <v>14901.755999999999</v>
      </c>
      <c r="Z95" s="92">
        <f t="shared" si="91"/>
        <v>-1017.2160000000003</v>
      </c>
      <c r="AA95" s="143">
        <f t="shared" si="92"/>
        <v>93.173851457506075</v>
      </c>
    </row>
    <row r="96" spans="1:32" s="46" customFormat="1" ht="27.75" customHeight="1" x14ac:dyDescent="0.3">
      <c r="A96" s="12" t="s">
        <v>134</v>
      </c>
      <c r="B96" s="79" t="s">
        <v>36</v>
      </c>
      <c r="C96" s="15" t="s">
        <v>22</v>
      </c>
      <c r="D96" s="145">
        <v>20000</v>
      </c>
      <c r="E96" s="145">
        <v>20000</v>
      </c>
      <c r="F96" s="142">
        <f t="shared" si="84"/>
        <v>13638.048999999999</v>
      </c>
      <c r="G96" s="142">
        <v>0</v>
      </c>
      <c r="H96" s="142">
        <v>0</v>
      </c>
      <c r="I96" s="142">
        <v>2908.8789999999999</v>
      </c>
      <c r="J96" s="142">
        <v>1291.645</v>
      </c>
      <c r="K96" s="142">
        <v>0</v>
      </c>
      <c r="L96" s="142">
        <v>7448.0630000000001</v>
      </c>
      <c r="M96" s="142">
        <v>535.94399999999996</v>
      </c>
      <c r="N96" s="142">
        <v>0</v>
      </c>
      <c r="O96" s="142">
        <v>1453.518</v>
      </c>
      <c r="P96" s="142">
        <v>0</v>
      </c>
      <c r="Q96" s="143">
        <f t="shared" si="93"/>
        <v>68.19024499999999</v>
      </c>
      <c r="R96" s="91">
        <v>13600</v>
      </c>
      <c r="S96" s="92">
        <f t="shared" si="87"/>
        <v>38.048999999999069</v>
      </c>
      <c r="T96" s="143">
        <f t="shared" si="94"/>
        <v>100.27977205882353</v>
      </c>
      <c r="U96" s="92">
        <f t="shared" si="100"/>
        <v>16666.666666666668</v>
      </c>
      <c r="V96" s="92">
        <f t="shared" si="89"/>
        <v>-3028.6176666666688</v>
      </c>
      <c r="W96" s="143">
        <f t="shared" si="96"/>
        <v>81.828293999999985</v>
      </c>
      <c r="Y96" s="142">
        <v>6604.7830000000004</v>
      </c>
      <c r="Z96" s="92">
        <f t="shared" si="91"/>
        <v>7033.2659999999987</v>
      </c>
      <c r="AA96" s="143">
        <f t="shared" si="92"/>
        <v>206.48746522028048</v>
      </c>
    </row>
    <row r="97" spans="1:29" s="45" customFormat="1" ht="23.25" x14ac:dyDescent="0.3">
      <c r="A97" s="12" t="s">
        <v>135</v>
      </c>
      <c r="B97" s="34" t="s">
        <v>69</v>
      </c>
      <c r="C97" s="15" t="s">
        <v>42</v>
      </c>
      <c r="D97" s="145">
        <v>70000</v>
      </c>
      <c r="E97" s="145">
        <v>66200</v>
      </c>
      <c r="F97" s="145">
        <f t="shared" si="84"/>
        <v>41889.598999999995</v>
      </c>
      <c r="G97" s="145">
        <v>2617.5259999999998</v>
      </c>
      <c r="H97" s="145">
        <v>1604.818</v>
      </c>
      <c r="I97" s="145">
        <v>5660.7889999999998</v>
      </c>
      <c r="J97" s="145">
        <v>3590.73</v>
      </c>
      <c r="K97" s="145">
        <v>4513.5929999999998</v>
      </c>
      <c r="L97" s="145">
        <v>3801.8</v>
      </c>
      <c r="M97" s="145">
        <v>2191.7809999999999</v>
      </c>
      <c r="N97" s="145">
        <v>10910.683999999999</v>
      </c>
      <c r="O97" s="145">
        <v>3994.8040000000001</v>
      </c>
      <c r="P97" s="145">
        <v>3003.0740000000001</v>
      </c>
      <c r="Q97" s="143">
        <f t="shared" si="93"/>
        <v>63.27733987915407</v>
      </c>
      <c r="R97" s="145">
        <v>40214.9</v>
      </c>
      <c r="S97" s="92">
        <f t="shared" si="87"/>
        <v>1674.6989999999932</v>
      </c>
      <c r="T97" s="143">
        <f t="shared" si="94"/>
        <v>104.1643743985438</v>
      </c>
      <c r="U97" s="92">
        <f t="shared" si="100"/>
        <v>55166.666666666672</v>
      </c>
      <c r="V97" s="92">
        <f t="shared" si="89"/>
        <v>-13277.067666666677</v>
      </c>
      <c r="W97" s="143">
        <f t="shared" si="96"/>
        <v>75.932807854984873</v>
      </c>
      <c r="Y97" s="145">
        <v>42421.151000000005</v>
      </c>
      <c r="Z97" s="92">
        <f t="shared" si="91"/>
        <v>-531.55200000001059</v>
      </c>
      <c r="AA97" s="143">
        <f t="shared" si="92"/>
        <v>98.746964692212131</v>
      </c>
    </row>
    <row r="98" spans="1:29" s="45" customFormat="1" ht="39" x14ac:dyDescent="0.3">
      <c r="A98" s="12" t="s">
        <v>172</v>
      </c>
      <c r="B98" s="34" t="s">
        <v>211</v>
      </c>
      <c r="C98" s="154" t="s">
        <v>117</v>
      </c>
      <c r="D98" s="145">
        <v>0</v>
      </c>
      <c r="E98" s="145">
        <v>0</v>
      </c>
      <c r="F98" s="145">
        <f t="shared" si="84"/>
        <v>0</v>
      </c>
      <c r="G98" s="145">
        <v>0</v>
      </c>
      <c r="H98" s="145">
        <v>0</v>
      </c>
      <c r="I98" s="145">
        <v>0</v>
      </c>
      <c r="J98" s="145">
        <v>0</v>
      </c>
      <c r="K98" s="145">
        <v>0</v>
      </c>
      <c r="L98" s="145">
        <v>0</v>
      </c>
      <c r="M98" s="145">
        <v>0</v>
      </c>
      <c r="N98" s="145">
        <v>0</v>
      </c>
      <c r="O98" s="145">
        <v>0</v>
      </c>
      <c r="P98" s="145">
        <v>0</v>
      </c>
      <c r="Q98" s="143"/>
      <c r="R98" s="145">
        <v>0</v>
      </c>
      <c r="S98" s="92">
        <f t="shared" si="87"/>
        <v>0</v>
      </c>
      <c r="T98" s="143"/>
      <c r="U98" s="92">
        <f>E98/12*6</f>
        <v>0</v>
      </c>
      <c r="V98" s="92">
        <f t="shared" si="89"/>
        <v>0</v>
      </c>
      <c r="W98" s="143"/>
      <c r="Y98" s="145">
        <v>200</v>
      </c>
      <c r="Z98" s="92">
        <f t="shared" si="91"/>
        <v>-200</v>
      </c>
      <c r="AA98" s="143"/>
    </row>
    <row r="99" spans="1:29" s="43" customFormat="1" ht="23.25" x14ac:dyDescent="0.3">
      <c r="A99" s="158">
        <v>7</v>
      </c>
      <c r="B99" s="90" t="s">
        <v>11</v>
      </c>
      <c r="C99" s="124" t="s">
        <v>23</v>
      </c>
      <c r="D99" s="144">
        <v>6000</v>
      </c>
      <c r="E99" s="144">
        <v>7000</v>
      </c>
      <c r="F99" s="138">
        <f t="shared" si="84"/>
        <v>6803.0260000000007</v>
      </c>
      <c r="G99" s="138">
        <v>431.85300000000001</v>
      </c>
      <c r="H99" s="138">
        <v>403.06599999999997</v>
      </c>
      <c r="I99" s="138">
        <v>337.41399999999999</v>
      </c>
      <c r="J99" s="138">
        <v>348.38400000000001</v>
      </c>
      <c r="K99" s="138">
        <v>273.77199999999999</v>
      </c>
      <c r="L99" s="138">
        <v>1847.547</v>
      </c>
      <c r="M99" s="138">
        <v>967.10500000000002</v>
      </c>
      <c r="N99" s="138">
        <v>1121.1310000000001</v>
      </c>
      <c r="O99" s="138">
        <v>710.73900000000003</v>
      </c>
      <c r="P99" s="138">
        <v>362.01499999999999</v>
      </c>
      <c r="Q99" s="141">
        <f>F99/E99*100</f>
        <v>97.186085714285724</v>
      </c>
      <c r="R99" s="139">
        <v>6750</v>
      </c>
      <c r="S99" s="140">
        <f t="shared" si="87"/>
        <v>53.026000000000749</v>
      </c>
      <c r="T99" s="141">
        <f>F99/R99*100</f>
        <v>100.78557037037039</v>
      </c>
      <c r="U99" s="140">
        <f>E99/12*10</f>
        <v>5833.3333333333339</v>
      </c>
      <c r="V99" s="140">
        <f t="shared" si="89"/>
        <v>969.69266666666681</v>
      </c>
      <c r="W99" s="141">
        <f>F99/U99*100</f>
        <v>116.62330285714286</v>
      </c>
      <c r="Y99" s="138">
        <v>6412.3780000000006</v>
      </c>
      <c r="Z99" s="140">
        <f t="shared" si="91"/>
        <v>390.64800000000014</v>
      </c>
      <c r="AA99" s="141">
        <f>F99/Y99*100</f>
        <v>106.09209251232539</v>
      </c>
    </row>
    <row r="100" spans="1:29" s="38" customFormat="1" ht="33.75" customHeight="1" x14ac:dyDescent="0.3">
      <c r="A100" s="36"/>
      <c r="B100" s="62" t="s">
        <v>155</v>
      </c>
      <c r="C100" s="37"/>
      <c r="D100" s="129">
        <f>D86+D89+D91+D92+D94+D95+D96+D97+D99+D90</f>
        <v>168893.098</v>
      </c>
      <c r="E100" s="129">
        <f>E86+E89+E91+E92+E94+E95+E96+E97+E99+E90</f>
        <v>178318.098</v>
      </c>
      <c r="F100" s="129">
        <f t="shared" si="84"/>
        <v>157224.03100000002</v>
      </c>
      <c r="G100" s="129">
        <f t="shared" ref="G100:P100" si="101">G86+G89+G91+G92+G94+G95+G96+G97+G99+G90</f>
        <v>13052.776</v>
      </c>
      <c r="H100" s="129">
        <f t="shared" si="101"/>
        <v>11009.893</v>
      </c>
      <c r="I100" s="129">
        <f t="shared" si="101"/>
        <v>17081.435000000001</v>
      </c>
      <c r="J100" s="129">
        <f t="shared" si="101"/>
        <v>11273.431999999999</v>
      </c>
      <c r="K100" s="129">
        <f t="shared" ref="K100:O100" si="102">K86+K89+K91+K92+K94+K95+K96+K97+K99+K90</f>
        <v>10795.981</v>
      </c>
      <c r="L100" s="129">
        <f t="shared" si="102"/>
        <v>19595.115999999998</v>
      </c>
      <c r="M100" s="129">
        <f t="shared" si="102"/>
        <v>7688.4280000000008</v>
      </c>
      <c r="N100" s="129">
        <f t="shared" si="102"/>
        <v>17727.018</v>
      </c>
      <c r="O100" s="129">
        <f t="shared" si="102"/>
        <v>37335.300000000003</v>
      </c>
      <c r="P100" s="129">
        <f t="shared" si="101"/>
        <v>11664.652</v>
      </c>
      <c r="Q100" s="64">
        <f>F100/E100*100</f>
        <v>88.17054060323143</v>
      </c>
      <c r="R100" s="129">
        <f>R86+R89+R91+R92+R94+R95+R96+R97+R99+R90</f>
        <v>133054.179</v>
      </c>
      <c r="S100" s="63">
        <f t="shared" si="87"/>
        <v>24169.852000000014</v>
      </c>
      <c r="T100" s="64">
        <f>F100/R100*100</f>
        <v>118.16542117027382</v>
      </c>
      <c r="U100" s="63">
        <f>U86+U89+U91+U92+U94+U95+U96+U97+U99+U90</f>
        <v>148598.41500000004</v>
      </c>
      <c r="V100" s="63">
        <f t="shared" si="89"/>
        <v>8625.61599999998</v>
      </c>
      <c r="W100" s="64">
        <f>F100/U100*100</f>
        <v>105.80464872387769</v>
      </c>
      <c r="Y100" s="129">
        <f>Y86+Y89+Y91+Y92+Y94+Y95+Y96+Y97+Y99+Y90</f>
        <v>130357.52999999998</v>
      </c>
      <c r="Z100" s="63">
        <f t="shared" si="91"/>
        <v>26866.501000000033</v>
      </c>
      <c r="AA100" s="64">
        <f>F100/Y100*100</f>
        <v>120.60985736688939</v>
      </c>
    </row>
    <row r="101" spans="1:29" s="48" customFormat="1" ht="22.5" x14ac:dyDescent="0.3">
      <c r="A101" s="47"/>
      <c r="B101" s="98"/>
      <c r="C101" s="4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68"/>
      <c r="R101" s="130"/>
      <c r="S101" s="67"/>
      <c r="T101" s="68"/>
      <c r="U101" s="67"/>
      <c r="V101" s="67"/>
      <c r="W101" s="68"/>
      <c r="Y101" s="130"/>
      <c r="Z101" s="67"/>
      <c r="AA101" s="68"/>
    </row>
    <row r="102" spans="1:29" s="125" customFormat="1" ht="78" x14ac:dyDescent="0.25">
      <c r="A102" s="158">
        <v>1</v>
      </c>
      <c r="B102" s="131" t="s">
        <v>208</v>
      </c>
      <c r="C102" s="124" t="s">
        <v>72</v>
      </c>
      <c r="D102" s="144">
        <v>120420</v>
      </c>
      <c r="E102" s="144">
        <v>120420</v>
      </c>
      <c r="F102" s="144">
        <f t="shared" si="84"/>
        <v>6040.8</v>
      </c>
      <c r="G102" s="144">
        <v>0</v>
      </c>
      <c r="H102" s="144">
        <v>0</v>
      </c>
      <c r="I102" s="144">
        <v>1530.3</v>
      </c>
      <c r="J102" s="144">
        <v>0</v>
      </c>
      <c r="K102" s="144">
        <v>2328</v>
      </c>
      <c r="L102" s="144">
        <v>0</v>
      </c>
      <c r="M102" s="144">
        <v>0</v>
      </c>
      <c r="N102" s="144">
        <v>0</v>
      </c>
      <c r="O102" s="144">
        <v>2182.5</v>
      </c>
      <c r="P102" s="144">
        <v>0</v>
      </c>
      <c r="Q102" s="127">
        <f>F102/E102*100</f>
        <v>5.0164424514200299</v>
      </c>
      <c r="R102" s="144">
        <v>120420</v>
      </c>
      <c r="S102" s="140">
        <f>F102-R102</f>
        <v>-114379.2</v>
      </c>
      <c r="T102" s="127">
        <f t="shared" ref="T102:T106" si="103">F102/R102*100</f>
        <v>5.0164424514200299</v>
      </c>
      <c r="U102" s="144">
        <f>R102</f>
        <v>120420</v>
      </c>
      <c r="V102" s="140">
        <f>F102-U102</f>
        <v>-114379.2</v>
      </c>
      <c r="W102" s="127">
        <f>F102/U102*100</f>
        <v>5.0164424514200299</v>
      </c>
      <c r="Y102" s="144">
        <v>79680.206999999995</v>
      </c>
      <c r="Z102" s="140">
        <f>F102-Y102</f>
        <v>-73639.406999999992</v>
      </c>
      <c r="AA102" s="141">
        <f>F102/Y102*100</f>
        <v>7.5813056057949257</v>
      </c>
    </row>
    <row r="103" spans="1:29" s="125" customFormat="1" ht="78" x14ac:dyDescent="0.25">
      <c r="A103" s="158">
        <f>A102+1</f>
        <v>2</v>
      </c>
      <c r="B103" s="131" t="s">
        <v>209</v>
      </c>
      <c r="C103" s="124" t="s">
        <v>171</v>
      </c>
      <c r="D103" s="144">
        <v>0</v>
      </c>
      <c r="E103" s="144">
        <v>50000</v>
      </c>
      <c r="F103" s="144">
        <f t="shared" si="84"/>
        <v>22508.962</v>
      </c>
      <c r="G103" s="144">
        <v>0</v>
      </c>
      <c r="H103" s="144">
        <v>0</v>
      </c>
      <c r="I103" s="144">
        <v>0</v>
      </c>
      <c r="J103" s="144">
        <v>0</v>
      </c>
      <c r="K103" s="144">
        <v>0</v>
      </c>
      <c r="L103" s="144">
        <v>0</v>
      </c>
      <c r="M103" s="144">
        <v>0</v>
      </c>
      <c r="N103" s="144">
        <v>13508.709000000001</v>
      </c>
      <c r="O103" s="144">
        <v>9000.2530000000006</v>
      </c>
      <c r="P103" s="144">
        <v>0</v>
      </c>
      <c r="Q103" s="127">
        <f>F103/E103*100</f>
        <v>45.017924000000001</v>
      </c>
      <c r="R103" s="144">
        <v>44000</v>
      </c>
      <c r="S103" s="140">
        <f>F103-R103</f>
        <v>-21491.038</v>
      </c>
      <c r="T103" s="127">
        <f t="shared" si="103"/>
        <v>51.156731818181825</v>
      </c>
      <c r="U103" s="144">
        <f>R103</f>
        <v>44000</v>
      </c>
      <c r="V103" s="140">
        <f>F103-U103</f>
        <v>-21491.038</v>
      </c>
      <c r="W103" s="127">
        <f t="shared" ref="W103:W106" si="104">F103/U103*100</f>
        <v>51.156731818181825</v>
      </c>
      <c r="Y103" s="144">
        <v>18825.361000000001</v>
      </c>
      <c r="Z103" s="140">
        <f>F103-Y103</f>
        <v>3683.6009999999987</v>
      </c>
      <c r="AA103" s="141">
        <f>F103/Y103*100</f>
        <v>119.56722636022756</v>
      </c>
    </row>
    <row r="104" spans="1:29" s="125" customFormat="1" ht="23.25" x14ac:dyDescent="0.25">
      <c r="A104" s="158">
        <f>A103+1</f>
        <v>3</v>
      </c>
      <c r="B104" s="169" t="s">
        <v>210</v>
      </c>
      <c r="C104" s="124" t="s">
        <v>117</v>
      </c>
      <c r="D104" s="144">
        <v>0</v>
      </c>
      <c r="E104" s="144">
        <f>E105+E106</f>
        <v>13000</v>
      </c>
      <c r="F104" s="144">
        <f t="shared" si="84"/>
        <v>10108.492</v>
      </c>
      <c r="G104" s="144">
        <v>0</v>
      </c>
      <c r="H104" s="144">
        <v>0</v>
      </c>
      <c r="I104" s="144">
        <v>0</v>
      </c>
      <c r="J104" s="144">
        <v>0</v>
      </c>
      <c r="K104" s="144">
        <v>0</v>
      </c>
      <c r="L104" s="144">
        <v>0</v>
      </c>
      <c r="M104" s="144">
        <v>0</v>
      </c>
      <c r="N104" s="144">
        <v>0</v>
      </c>
      <c r="O104" s="144">
        <f>SUM(O105:O106)</f>
        <v>6546.7870000000003</v>
      </c>
      <c r="P104" s="144">
        <f>SUM(P105:P106)</f>
        <v>3561.7049999999999</v>
      </c>
      <c r="Q104" s="127">
        <f>F104/E104*100</f>
        <v>77.757630769230772</v>
      </c>
      <c r="R104" s="144">
        <v>13000</v>
      </c>
      <c r="S104" s="140">
        <f>F104-R104</f>
        <v>-2891.5079999999998</v>
      </c>
      <c r="T104" s="127">
        <f t="shared" si="103"/>
        <v>77.757630769230772</v>
      </c>
      <c r="U104" s="144">
        <f>R104</f>
        <v>13000</v>
      </c>
      <c r="V104" s="140">
        <f>F104-U104</f>
        <v>-2891.5079999999998</v>
      </c>
      <c r="W104" s="127">
        <f t="shared" si="104"/>
        <v>77.757630769230772</v>
      </c>
      <c r="Y104" s="144">
        <v>0</v>
      </c>
      <c r="Z104" s="140">
        <f>F104-Y104</f>
        <v>10108.492</v>
      </c>
      <c r="AA104" s="141"/>
    </row>
    <row r="105" spans="1:29" s="6" customFormat="1" ht="37.5" customHeight="1" x14ac:dyDescent="0.25">
      <c r="A105" s="126"/>
      <c r="B105" s="163" t="s">
        <v>180</v>
      </c>
      <c r="C105" s="15"/>
      <c r="D105" s="145">
        <v>0</v>
      </c>
      <c r="E105" s="145">
        <v>3000</v>
      </c>
      <c r="F105" s="145">
        <f t="shared" si="84"/>
        <v>0</v>
      </c>
      <c r="G105" s="145">
        <v>0</v>
      </c>
      <c r="H105" s="145">
        <v>0</v>
      </c>
      <c r="I105" s="145">
        <v>0</v>
      </c>
      <c r="J105" s="145">
        <v>0</v>
      </c>
      <c r="K105" s="145">
        <v>0</v>
      </c>
      <c r="L105" s="145">
        <v>0</v>
      </c>
      <c r="M105" s="145">
        <v>0</v>
      </c>
      <c r="N105" s="145">
        <v>0</v>
      </c>
      <c r="O105" s="145">
        <v>0</v>
      </c>
      <c r="P105" s="145">
        <v>0</v>
      </c>
      <c r="Q105" s="164">
        <f>F105/E105*100</f>
        <v>0</v>
      </c>
      <c r="R105" s="145">
        <v>3000</v>
      </c>
      <c r="S105" s="92">
        <f>F105-R105</f>
        <v>-3000</v>
      </c>
      <c r="T105" s="164">
        <f t="shared" si="103"/>
        <v>0</v>
      </c>
      <c r="U105" s="145">
        <f t="shared" ref="U105:U106" si="105">R105</f>
        <v>3000</v>
      </c>
      <c r="V105" s="92">
        <f t="shared" ref="V105:V106" si="106">F105-U105</f>
        <v>-3000</v>
      </c>
      <c r="W105" s="164">
        <f t="shared" si="104"/>
        <v>0</v>
      </c>
      <c r="Y105" s="145">
        <v>0</v>
      </c>
      <c r="Z105" s="92">
        <f t="shared" ref="Z105:Z106" si="107">F105-Y105</f>
        <v>0</v>
      </c>
      <c r="AA105" s="143"/>
    </row>
    <row r="106" spans="1:29" s="6" customFormat="1" ht="23.25" x14ac:dyDescent="0.25">
      <c r="A106" s="126"/>
      <c r="B106" s="163" t="s">
        <v>181</v>
      </c>
      <c r="C106" s="15"/>
      <c r="D106" s="145">
        <v>0</v>
      </c>
      <c r="E106" s="145">
        <v>10000</v>
      </c>
      <c r="F106" s="145">
        <f t="shared" si="84"/>
        <v>10108.492</v>
      </c>
      <c r="G106" s="145">
        <v>0</v>
      </c>
      <c r="H106" s="145">
        <v>0</v>
      </c>
      <c r="I106" s="145">
        <v>0</v>
      </c>
      <c r="J106" s="145">
        <v>0</v>
      </c>
      <c r="K106" s="145">
        <v>0</v>
      </c>
      <c r="L106" s="145">
        <v>0</v>
      </c>
      <c r="M106" s="145">
        <v>0</v>
      </c>
      <c r="N106" s="145">
        <v>0</v>
      </c>
      <c r="O106" s="145">
        <v>6546.7870000000003</v>
      </c>
      <c r="P106" s="145">
        <f>1797.99+1763.715</f>
        <v>3561.7049999999999</v>
      </c>
      <c r="Q106" s="164">
        <f>F106/E106*100</f>
        <v>101.08492</v>
      </c>
      <c r="R106" s="145">
        <v>10000</v>
      </c>
      <c r="S106" s="92">
        <f>F106-R106</f>
        <v>108.49200000000019</v>
      </c>
      <c r="T106" s="164">
        <f t="shared" si="103"/>
        <v>101.08492</v>
      </c>
      <c r="U106" s="145">
        <f t="shared" si="105"/>
        <v>10000</v>
      </c>
      <c r="V106" s="92">
        <f t="shared" si="106"/>
        <v>108.49200000000019</v>
      </c>
      <c r="W106" s="164">
        <f t="shared" si="104"/>
        <v>101.08492</v>
      </c>
      <c r="Y106" s="145">
        <v>0</v>
      </c>
      <c r="Z106" s="92">
        <f t="shared" si="107"/>
        <v>10108.492</v>
      </c>
      <c r="AA106" s="143"/>
    </row>
    <row r="107" spans="1:29" s="27" customFormat="1" ht="22.5" x14ac:dyDescent="0.25">
      <c r="A107" s="26"/>
      <c r="B107" s="69"/>
      <c r="C107" s="19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68"/>
      <c r="R107" s="130"/>
      <c r="S107" s="67"/>
      <c r="T107" s="68"/>
      <c r="U107" s="67"/>
      <c r="V107" s="67"/>
      <c r="W107" s="68"/>
      <c r="Y107" s="130"/>
      <c r="Z107" s="67"/>
      <c r="AA107" s="68"/>
    </row>
    <row r="108" spans="1:29" s="41" customFormat="1" ht="37.5" customHeight="1" x14ac:dyDescent="0.3">
      <c r="A108" s="39"/>
      <c r="B108" s="42" t="s">
        <v>28</v>
      </c>
      <c r="C108" s="40"/>
      <c r="D108" s="130">
        <f>D109+D110</f>
        <v>120420</v>
      </c>
      <c r="E108" s="130">
        <f>E109+E110</f>
        <v>183420</v>
      </c>
      <c r="F108" s="130">
        <f t="shared" si="84"/>
        <v>38658.254000000001</v>
      </c>
      <c r="G108" s="130">
        <f t="shared" ref="G108:R108" si="108">G109+G110</f>
        <v>0</v>
      </c>
      <c r="H108" s="130">
        <f t="shared" si="108"/>
        <v>0</v>
      </c>
      <c r="I108" s="130">
        <f t="shared" si="108"/>
        <v>1530.3</v>
      </c>
      <c r="J108" s="130">
        <f t="shared" si="108"/>
        <v>0</v>
      </c>
      <c r="K108" s="130">
        <f t="shared" ref="K108:O108" si="109">K109+K110</f>
        <v>2328</v>
      </c>
      <c r="L108" s="130">
        <f t="shared" si="109"/>
        <v>0</v>
      </c>
      <c r="M108" s="130">
        <f t="shared" si="109"/>
        <v>0</v>
      </c>
      <c r="N108" s="130">
        <f t="shared" si="109"/>
        <v>13508.709000000001</v>
      </c>
      <c r="O108" s="130">
        <f t="shared" si="109"/>
        <v>17729.54</v>
      </c>
      <c r="P108" s="130">
        <f t="shared" si="108"/>
        <v>3561.7049999999999</v>
      </c>
      <c r="Q108" s="68">
        <f>F108/E108*100</f>
        <v>21.076356994875152</v>
      </c>
      <c r="R108" s="130">
        <f t="shared" si="108"/>
        <v>177420</v>
      </c>
      <c r="S108" s="67">
        <f>F108-R108</f>
        <v>-138761.74599999998</v>
      </c>
      <c r="T108" s="68">
        <f>F108/R108*100</f>
        <v>21.789118475932813</v>
      </c>
      <c r="U108" s="130">
        <f>U109+U110</f>
        <v>120420</v>
      </c>
      <c r="V108" s="67">
        <f>F108-U108</f>
        <v>-81761.745999999999</v>
      </c>
      <c r="W108" s="68">
        <f>F108/U108*100</f>
        <v>32.102851685766488</v>
      </c>
      <c r="Y108" s="130">
        <f t="shared" ref="Y108" si="110">Y109+Y110</f>
        <v>98705.567999999999</v>
      </c>
      <c r="Z108" s="67">
        <f>F108-Y108</f>
        <v>-60047.313999999998</v>
      </c>
      <c r="AA108" s="68">
        <f>F108/Y108*100</f>
        <v>39.165221155507659</v>
      </c>
    </row>
    <row r="109" spans="1:29" s="6" customFormat="1" ht="23.25" hidden="1" x14ac:dyDescent="0.25">
      <c r="A109" s="12"/>
      <c r="B109" s="15" t="s">
        <v>107</v>
      </c>
      <c r="C109" s="15"/>
      <c r="D109" s="145">
        <f>D102</f>
        <v>120420</v>
      </c>
      <c r="E109" s="145">
        <f>E102</f>
        <v>120420</v>
      </c>
      <c r="F109" s="145">
        <f t="shared" si="84"/>
        <v>6040.8</v>
      </c>
      <c r="G109" s="145">
        <f t="shared" ref="G109:R109" si="111">G102</f>
        <v>0</v>
      </c>
      <c r="H109" s="145">
        <f t="shared" si="111"/>
        <v>0</v>
      </c>
      <c r="I109" s="145">
        <f t="shared" si="111"/>
        <v>1530.3</v>
      </c>
      <c r="J109" s="145">
        <f t="shared" si="111"/>
        <v>0</v>
      </c>
      <c r="K109" s="145">
        <f t="shared" ref="K109:O109" si="112">K102</f>
        <v>2328</v>
      </c>
      <c r="L109" s="145">
        <f t="shared" si="112"/>
        <v>0</v>
      </c>
      <c r="M109" s="145">
        <f t="shared" si="112"/>
        <v>0</v>
      </c>
      <c r="N109" s="145">
        <f t="shared" si="112"/>
        <v>0</v>
      </c>
      <c r="O109" s="145">
        <f t="shared" si="112"/>
        <v>2182.5</v>
      </c>
      <c r="P109" s="145">
        <f t="shared" si="111"/>
        <v>0</v>
      </c>
      <c r="Q109" s="143">
        <f>F109/E109*100</f>
        <v>5.0164424514200299</v>
      </c>
      <c r="R109" s="145">
        <f t="shared" si="111"/>
        <v>120420</v>
      </c>
      <c r="S109" s="92">
        <f>F109-R109</f>
        <v>-114379.2</v>
      </c>
      <c r="T109" s="143">
        <f t="shared" ref="T109:T110" si="113">F109/R109*100</f>
        <v>5.0164424514200299</v>
      </c>
      <c r="U109" s="145">
        <f>U102</f>
        <v>120420</v>
      </c>
      <c r="V109" s="92">
        <f>F109-U109</f>
        <v>-114379.2</v>
      </c>
      <c r="W109" s="143">
        <f>F109/U109*100</f>
        <v>5.0164424514200299</v>
      </c>
      <c r="Y109" s="145">
        <f>Y102</f>
        <v>79680.206999999995</v>
      </c>
      <c r="Z109" s="92">
        <f>F109-Y109</f>
        <v>-73639.406999999992</v>
      </c>
      <c r="AA109" s="143">
        <f>F109/Y109*100</f>
        <v>7.5813056057949257</v>
      </c>
    </row>
    <row r="110" spans="1:29" s="6" customFormat="1" ht="23.25" hidden="1" x14ac:dyDescent="0.25">
      <c r="A110" s="12"/>
      <c r="B110" s="122" t="s">
        <v>106</v>
      </c>
      <c r="C110" s="15"/>
      <c r="D110" s="145">
        <f>D104</f>
        <v>0</v>
      </c>
      <c r="E110" s="145">
        <f>E104+E103</f>
        <v>63000</v>
      </c>
      <c r="F110" s="145">
        <f t="shared" si="84"/>
        <v>32617.454000000005</v>
      </c>
      <c r="G110" s="145">
        <f>G104+G103</f>
        <v>0</v>
      </c>
      <c r="H110" s="145">
        <f t="shared" ref="H110:R110" si="114">H104+H103</f>
        <v>0</v>
      </c>
      <c r="I110" s="145">
        <f t="shared" si="114"/>
        <v>0</v>
      </c>
      <c r="J110" s="145">
        <f t="shared" si="114"/>
        <v>0</v>
      </c>
      <c r="K110" s="145">
        <f t="shared" si="114"/>
        <v>0</v>
      </c>
      <c r="L110" s="145">
        <f t="shared" si="114"/>
        <v>0</v>
      </c>
      <c r="M110" s="145">
        <f t="shared" ref="M110:O110" si="115">M104+M103</f>
        <v>0</v>
      </c>
      <c r="N110" s="145">
        <f t="shared" si="115"/>
        <v>13508.709000000001</v>
      </c>
      <c r="O110" s="145">
        <f t="shared" si="115"/>
        <v>15547.04</v>
      </c>
      <c r="P110" s="145">
        <f t="shared" si="114"/>
        <v>3561.7049999999999</v>
      </c>
      <c r="Q110" s="143">
        <f>F110/E110*100</f>
        <v>51.773736507936519</v>
      </c>
      <c r="R110" s="145">
        <f t="shared" si="114"/>
        <v>57000</v>
      </c>
      <c r="S110" s="92">
        <f>F110-R110</f>
        <v>-24382.545999999995</v>
      </c>
      <c r="T110" s="143">
        <f t="shared" si="113"/>
        <v>57.223603508771937</v>
      </c>
      <c r="U110" s="145">
        <v>0</v>
      </c>
      <c r="V110" s="92">
        <f>F110-U110</f>
        <v>32617.454000000005</v>
      </c>
      <c r="W110" s="143"/>
      <c r="Y110" s="145">
        <f>Y103+Y104+Y98</f>
        <v>19025.361000000001</v>
      </c>
      <c r="Z110" s="92">
        <f>F110-Y110</f>
        <v>13592.093000000004</v>
      </c>
      <c r="AA110" s="143">
        <f>F110/Y110*100</f>
        <v>171.44197158729341</v>
      </c>
    </row>
    <row r="111" spans="1:29" s="8" customFormat="1" ht="23.25" x14ac:dyDescent="0.25">
      <c r="A111" s="158"/>
      <c r="B111" s="31"/>
      <c r="C111" s="124"/>
      <c r="D111" s="144"/>
      <c r="E111" s="144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1"/>
      <c r="R111" s="144"/>
      <c r="S111" s="140"/>
      <c r="T111" s="141"/>
      <c r="U111" s="144"/>
      <c r="V111" s="140"/>
      <c r="W111" s="141"/>
      <c r="Y111" s="147"/>
      <c r="Z111" s="140"/>
      <c r="AA111" s="141"/>
    </row>
    <row r="112" spans="1:29" s="107" customFormat="1" ht="23.25" x14ac:dyDescent="0.3">
      <c r="A112" s="100"/>
      <c r="B112" s="101" t="s">
        <v>41</v>
      </c>
      <c r="C112" s="108"/>
      <c r="D112" s="103">
        <f>D100+D108</f>
        <v>289313.098</v>
      </c>
      <c r="E112" s="103">
        <f>E100+E108</f>
        <v>361738.098</v>
      </c>
      <c r="F112" s="103">
        <f t="shared" si="84"/>
        <v>195882.285</v>
      </c>
      <c r="G112" s="103">
        <f t="shared" ref="G112:P112" si="116">G100+G108</f>
        <v>13052.776</v>
      </c>
      <c r="H112" s="103">
        <f t="shared" si="116"/>
        <v>11009.893</v>
      </c>
      <c r="I112" s="103">
        <f t="shared" si="116"/>
        <v>18611.735000000001</v>
      </c>
      <c r="J112" s="103">
        <f t="shared" si="116"/>
        <v>11273.431999999999</v>
      </c>
      <c r="K112" s="103">
        <f t="shared" si="116"/>
        <v>13123.981</v>
      </c>
      <c r="L112" s="103">
        <f t="shared" si="116"/>
        <v>19595.115999999998</v>
      </c>
      <c r="M112" s="103">
        <f t="shared" si="116"/>
        <v>7688.4280000000008</v>
      </c>
      <c r="N112" s="103">
        <f t="shared" si="116"/>
        <v>31235.726999999999</v>
      </c>
      <c r="O112" s="103">
        <f t="shared" si="116"/>
        <v>55064.840000000004</v>
      </c>
      <c r="P112" s="103">
        <f t="shared" si="116"/>
        <v>15226.357</v>
      </c>
      <c r="Q112" s="105">
        <f>F112/E112*100</f>
        <v>54.150305451100152</v>
      </c>
      <c r="R112" s="103">
        <f>R100+R108</f>
        <v>310474.179</v>
      </c>
      <c r="S112" s="104">
        <f>F112-R112</f>
        <v>-114591.894</v>
      </c>
      <c r="T112" s="105">
        <f>F112/R112*100</f>
        <v>63.091328763929191</v>
      </c>
      <c r="U112" s="103">
        <f>U100+U108</f>
        <v>269018.41500000004</v>
      </c>
      <c r="V112" s="104">
        <f>F112-U112</f>
        <v>-73136.130000000034</v>
      </c>
      <c r="W112" s="105">
        <f>F112/U112*100</f>
        <v>72.813708682359163</v>
      </c>
      <c r="Y112" s="103">
        <f>Y100+Y108</f>
        <v>229063.098</v>
      </c>
      <c r="Z112" s="104">
        <f>F112-Y112</f>
        <v>-33180.812999999995</v>
      </c>
      <c r="AA112" s="105">
        <f>F112/Y112*100</f>
        <v>85.514553286972486</v>
      </c>
      <c r="AB112" s="107">
        <v>177970.08</v>
      </c>
      <c r="AC112" s="106">
        <f>AB112-Y112</f>
        <v>-51093.018000000011</v>
      </c>
    </row>
    <row r="113" spans="1:29" s="11" customFormat="1" ht="25.5" customHeight="1" x14ac:dyDescent="0.25">
      <c r="A113" s="190" t="s">
        <v>40</v>
      </c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2"/>
    </row>
    <row r="114" spans="1:29" s="114" customFormat="1" ht="33" customHeight="1" x14ac:dyDescent="0.3">
      <c r="A114" s="116"/>
      <c r="B114" s="109" t="s">
        <v>156</v>
      </c>
      <c r="C114" s="110"/>
      <c r="D114" s="111">
        <f>D47+D100</f>
        <v>3920514.4869999997</v>
      </c>
      <c r="E114" s="111">
        <f>E47+E100</f>
        <v>3929939.4869999997</v>
      </c>
      <c r="F114" s="111">
        <f t="shared" ref="F114:F121" si="117">SUM(G114:P114)</f>
        <v>3169841.9179999996</v>
      </c>
      <c r="G114" s="111">
        <f t="shared" ref="G114:P114" si="118">G47+G100</f>
        <v>250348.01899999997</v>
      </c>
      <c r="H114" s="111">
        <f t="shared" si="118"/>
        <v>316324.92499999993</v>
      </c>
      <c r="I114" s="111">
        <f t="shared" si="118"/>
        <v>293871.63500000001</v>
      </c>
      <c r="J114" s="111">
        <f t="shared" si="118"/>
        <v>321819.16699999996</v>
      </c>
      <c r="K114" s="111">
        <f t="shared" si="118"/>
        <v>319289.49</v>
      </c>
      <c r="L114" s="111">
        <f t="shared" si="118"/>
        <v>314075.54199999996</v>
      </c>
      <c r="M114" s="111">
        <f t="shared" si="118"/>
        <v>331080.71700000006</v>
      </c>
      <c r="N114" s="111">
        <f t="shared" si="118"/>
        <v>328019.30800000002</v>
      </c>
      <c r="O114" s="111">
        <f t="shared" si="118"/>
        <v>307651.52699999994</v>
      </c>
      <c r="P114" s="111">
        <f t="shared" si="118"/>
        <v>387361.58800000016</v>
      </c>
      <c r="Q114" s="113">
        <f>F114/E114*100</f>
        <v>80.658797126155335</v>
      </c>
      <c r="R114" s="111">
        <f>R47+R100</f>
        <v>2977717.9569999999</v>
      </c>
      <c r="S114" s="112">
        <f>F114-R114</f>
        <v>192123.96099999966</v>
      </c>
      <c r="T114" s="113">
        <f>F114/R114*100</f>
        <v>106.45205367917254</v>
      </c>
      <c r="U114" s="111">
        <f>U47+U100</f>
        <v>3274949.5724999993</v>
      </c>
      <c r="V114" s="112">
        <f>F114-U114</f>
        <v>-105107.65449999971</v>
      </c>
      <c r="W114" s="113">
        <f>F114/U114*100</f>
        <v>96.790556551386416</v>
      </c>
      <c r="Y114" s="111">
        <f>Y47+Y100</f>
        <v>2715274.2089999993</v>
      </c>
      <c r="Z114" s="112">
        <f>F114-Y114</f>
        <v>454567.70900000026</v>
      </c>
      <c r="AA114" s="113">
        <f>F114/Y114*100</f>
        <v>116.74113455993866</v>
      </c>
    </row>
    <row r="115" spans="1:29" s="24" customFormat="1" ht="22.5" x14ac:dyDescent="0.3">
      <c r="A115" s="10"/>
      <c r="B115" s="14"/>
      <c r="C115" s="19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68"/>
      <c r="R115" s="130"/>
      <c r="S115" s="67"/>
      <c r="T115" s="68"/>
      <c r="U115" s="130"/>
      <c r="V115" s="67"/>
      <c r="W115" s="68"/>
      <c r="Y115" s="130"/>
      <c r="Z115" s="67"/>
      <c r="AA115" s="68"/>
    </row>
    <row r="116" spans="1:29" s="41" customFormat="1" ht="22.5" x14ac:dyDescent="0.3">
      <c r="A116" s="39"/>
      <c r="B116" s="42" t="s">
        <v>28</v>
      </c>
      <c r="C116" s="40"/>
      <c r="D116" s="130">
        <f>D77+D108</f>
        <v>864542.80200000003</v>
      </c>
      <c r="E116" s="130">
        <f>E77+E108</f>
        <v>969907.26800000004</v>
      </c>
      <c r="F116" s="130">
        <f t="shared" si="117"/>
        <v>688949.68999999983</v>
      </c>
      <c r="G116" s="130">
        <f t="shared" ref="G116:P116" si="119">G77+G108</f>
        <v>46907.102000000006</v>
      </c>
      <c r="H116" s="130">
        <f t="shared" si="119"/>
        <v>54592.909</v>
      </c>
      <c r="I116" s="130">
        <f t="shared" si="119"/>
        <v>58734.604000000007</v>
      </c>
      <c r="J116" s="130">
        <f t="shared" si="119"/>
        <v>57797.366999999998</v>
      </c>
      <c r="K116" s="130">
        <f t="shared" si="119"/>
        <v>81686.313000000009</v>
      </c>
      <c r="L116" s="130">
        <f t="shared" si="119"/>
        <v>145334.226</v>
      </c>
      <c r="M116" s="130">
        <f t="shared" si="119"/>
        <v>28903.632999999998</v>
      </c>
      <c r="N116" s="130">
        <f t="shared" si="119"/>
        <v>53965.145000000004</v>
      </c>
      <c r="O116" s="130">
        <f t="shared" si="119"/>
        <v>95230.942999999999</v>
      </c>
      <c r="P116" s="130">
        <f t="shared" si="119"/>
        <v>65797.447999999989</v>
      </c>
      <c r="Q116" s="68">
        <f>F116/E116*100</f>
        <v>71.032531947167527</v>
      </c>
      <c r="R116" s="130">
        <f>R77+R108</f>
        <v>828182.50299999991</v>
      </c>
      <c r="S116" s="67">
        <f>F116-R116</f>
        <v>-139232.81300000008</v>
      </c>
      <c r="T116" s="68">
        <f>F116/R116*100</f>
        <v>83.1881484460678</v>
      </c>
      <c r="U116" s="130">
        <f>U77+U108</f>
        <v>752642.16500000004</v>
      </c>
      <c r="V116" s="67">
        <f>F116-U116</f>
        <v>-63692.47500000021</v>
      </c>
      <c r="W116" s="68">
        <f>F116/U116*100</f>
        <v>91.537482490102036</v>
      </c>
      <c r="Y116" s="130">
        <f>Y77+Y108</f>
        <v>713207.04799999995</v>
      </c>
      <c r="Z116" s="67">
        <f>F116-Y116</f>
        <v>-24257.358000000124</v>
      </c>
      <c r="AA116" s="68">
        <f>F116/Y116*100</f>
        <v>96.598833667162509</v>
      </c>
    </row>
    <row r="117" spans="1:29" s="41" customFormat="1" ht="22.5" hidden="1" x14ac:dyDescent="0.3">
      <c r="A117" s="117"/>
      <c r="B117" s="42" t="s">
        <v>73</v>
      </c>
      <c r="C117" s="40"/>
      <c r="D117" s="130">
        <f t="shared" ref="D117:E117" si="120">D118+D119</f>
        <v>864542.80200000003</v>
      </c>
      <c r="E117" s="130">
        <f t="shared" si="120"/>
        <v>969907.26800000004</v>
      </c>
      <c r="F117" s="130">
        <f t="shared" si="117"/>
        <v>688949.68999999983</v>
      </c>
      <c r="G117" s="130">
        <f t="shared" ref="G117:R117" si="121">G118+G119</f>
        <v>46907.102000000006</v>
      </c>
      <c r="H117" s="130">
        <f t="shared" ref="H117" si="122">H118+H119</f>
        <v>54592.909</v>
      </c>
      <c r="I117" s="130">
        <f t="shared" ref="I117:P117" si="123">I118+I119</f>
        <v>58734.604000000007</v>
      </c>
      <c r="J117" s="130">
        <f t="shared" ref="J117:O117" si="124">J118+J119</f>
        <v>57797.366999999998</v>
      </c>
      <c r="K117" s="130">
        <f t="shared" si="124"/>
        <v>81686.313000000009</v>
      </c>
      <c r="L117" s="130">
        <f t="shared" si="124"/>
        <v>145334.226</v>
      </c>
      <c r="M117" s="130">
        <f t="shared" si="124"/>
        <v>28903.632999999998</v>
      </c>
      <c r="N117" s="130">
        <f t="shared" si="124"/>
        <v>53965.145000000004</v>
      </c>
      <c r="O117" s="130">
        <f t="shared" si="124"/>
        <v>95230.942999999999</v>
      </c>
      <c r="P117" s="130">
        <f t="shared" si="123"/>
        <v>65797.448000000004</v>
      </c>
      <c r="Q117" s="68">
        <f>F117/E117*100</f>
        <v>71.032531947167527</v>
      </c>
      <c r="R117" s="130">
        <f t="shared" si="121"/>
        <v>828182.50300000003</v>
      </c>
      <c r="S117" s="67">
        <f>F117-R117</f>
        <v>-139232.8130000002</v>
      </c>
      <c r="T117" s="68">
        <f>F117/R117*100</f>
        <v>83.188148446067785</v>
      </c>
      <c r="U117" s="130">
        <f t="shared" ref="U117" si="125">U118+U119</f>
        <v>752642.16500000004</v>
      </c>
      <c r="V117" s="67">
        <f>F117-U117</f>
        <v>-63692.47500000021</v>
      </c>
      <c r="W117" s="68">
        <f>F117/U117*100</f>
        <v>91.537482490102036</v>
      </c>
      <c r="Y117" s="130">
        <f t="shared" ref="Y117" si="126">Y118+Y119</f>
        <v>700996.24800000002</v>
      </c>
      <c r="Z117" s="67">
        <f>F117-Y117</f>
        <v>-12046.558000000194</v>
      </c>
      <c r="AA117" s="68">
        <f>F117/Y117*100</f>
        <v>98.281508919003485</v>
      </c>
    </row>
    <row r="118" spans="1:29" s="120" customFormat="1" ht="23.25" hidden="1" x14ac:dyDescent="0.35">
      <c r="A118" s="118"/>
      <c r="B118" s="119" t="s">
        <v>107</v>
      </c>
      <c r="C118" s="119"/>
      <c r="D118" s="145">
        <f>D81+D109</f>
        <v>838223.4</v>
      </c>
      <c r="E118" s="145">
        <f>E81+E109</f>
        <v>851352.20000000007</v>
      </c>
      <c r="F118" s="145">
        <f t="shared" si="117"/>
        <v>605518</v>
      </c>
      <c r="G118" s="145">
        <f t="shared" ref="G118:P118" si="127">G81+G109</f>
        <v>44804.3</v>
      </c>
      <c r="H118" s="145">
        <f t="shared" si="127"/>
        <v>52312.800000000003</v>
      </c>
      <c r="I118" s="145">
        <f t="shared" si="127"/>
        <v>56011.100000000006</v>
      </c>
      <c r="J118" s="145">
        <f t="shared" si="127"/>
        <v>55203.4</v>
      </c>
      <c r="K118" s="145">
        <f t="shared" si="127"/>
        <v>76945.8</v>
      </c>
      <c r="L118" s="145">
        <f t="shared" si="127"/>
        <v>139119.6</v>
      </c>
      <c r="M118" s="145">
        <f t="shared" si="127"/>
        <v>26610.1</v>
      </c>
      <c r="N118" s="145">
        <f t="shared" si="127"/>
        <v>30223.4</v>
      </c>
      <c r="O118" s="145">
        <f t="shared" si="127"/>
        <v>63712.3</v>
      </c>
      <c r="P118" s="145">
        <f t="shared" si="127"/>
        <v>60575.199999999997</v>
      </c>
      <c r="Q118" s="143">
        <f>F118/E118*100</f>
        <v>71.124265609462213</v>
      </c>
      <c r="R118" s="145">
        <f>R81+R109</f>
        <v>719897.2</v>
      </c>
      <c r="S118" s="92">
        <f>F118-R118</f>
        <v>-114379.19999999995</v>
      </c>
      <c r="T118" s="143">
        <f>F118/R118*100</f>
        <v>84.111731508332028</v>
      </c>
      <c r="U118" s="145">
        <f>U81+U109</f>
        <v>718801</v>
      </c>
      <c r="V118" s="92">
        <f>F118-U118</f>
        <v>-113283</v>
      </c>
      <c r="W118" s="143">
        <f>F118/U118*100</f>
        <v>84.240005230933178</v>
      </c>
      <c r="Y118" s="145">
        <f>Y81+Y109</f>
        <v>620501.80700000003</v>
      </c>
      <c r="Z118" s="92">
        <f>F118-Y118</f>
        <v>-14983.80700000003</v>
      </c>
      <c r="AA118" s="143">
        <f>F118/Y118*100</f>
        <v>97.585211383598761</v>
      </c>
    </row>
    <row r="119" spans="1:29" s="120" customFormat="1" ht="23.25" hidden="1" x14ac:dyDescent="0.35">
      <c r="A119" s="118"/>
      <c r="B119" s="119" t="s">
        <v>106</v>
      </c>
      <c r="C119" s="119"/>
      <c r="D119" s="145">
        <f>D110+D82</f>
        <v>26319.402000000002</v>
      </c>
      <c r="E119" s="145">
        <f>E110+E82</f>
        <v>118555.068</v>
      </c>
      <c r="F119" s="145">
        <f t="shared" si="117"/>
        <v>83431.69</v>
      </c>
      <c r="G119" s="145">
        <f t="shared" ref="G119:P119" si="128">G110+G82</f>
        <v>2102.8020000000001</v>
      </c>
      <c r="H119" s="145">
        <f t="shared" si="128"/>
        <v>2280.1089999999999</v>
      </c>
      <c r="I119" s="145">
        <f t="shared" si="128"/>
        <v>2723.5039999999999</v>
      </c>
      <c r="J119" s="145">
        <f t="shared" si="128"/>
        <v>2593.9670000000001</v>
      </c>
      <c r="K119" s="145">
        <f t="shared" si="128"/>
        <v>4740.5129999999999</v>
      </c>
      <c r="L119" s="145">
        <f t="shared" si="128"/>
        <v>6214.6260000000002</v>
      </c>
      <c r="M119" s="145">
        <f t="shared" si="128"/>
        <v>2293.5329999999999</v>
      </c>
      <c r="N119" s="145">
        <f t="shared" si="128"/>
        <v>23741.745000000003</v>
      </c>
      <c r="O119" s="145">
        <f t="shared" si="128"/>
        <v>31518.643</v>
      </c>
      <c r="P119" s="145">
        <f t="shared" si="128"/>
        <v>5222.2479999999996</v>
      </c>
      <c r="Q119" s="143">
        <f>F119/E119*100</f>
        <v>70.373786129497233</v>
      </c>
      <c r="R119" s="145">
        <f>R110+R82</f>
        <v>108285.30300000001</v>
      </c>
      <c r="S119" s="92">
        <f>F119-R119</f>
        <v>-24853.613000000012</v>
      </c>
      <c r="T119" s="143">
        <f>F119/R119*100</f>
        <v>77.048027468695352</v>
      </c>
      <c r="U119" s="145">
        <f>U110+U82</f>
        <v>33841.165000000001</v>
      </c>
      <c r="V119" s="92">
        <f>F119-U119</f>
        <v>49590.525000000001</v>
      </c>
      <c r="W119" s="143">
        <f>F119/U119*100</f>
        <v>246.53905975163681</v>
      </c>
      <c r="Y119" s="145">
        <f>Y110+Y82</f>
        <v>80494.441000000006</v>
      </c>
      <c r="Z119" s="92">
        <f>F119-Y119</f>
        <v>2937.2489999999962</v>
      </c>
      <c r="AA119" s="143">
        <f>F119/Y119*100</f>
        <v>103.64900850730798</v>
      </c>
    </row>
    <row r="120" spans="1:29" s="6" customFormat="1" ht="23.25" x14ac:dyDescent="0.25">
      <c r="A120" s="20"/>
      <c r="B120" s="34"/>
      <c r="C120" s="1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3"/>
      <c r="R120" s="145"/>
      <c r="S120" s="92"/>
      <c r="T120" s="143"/>
      <c r="U120" s="145"/>
      <c r="V120" s="92"/>
      <c r="W120" s="143"/>
      <c r="Y120" s="145"/>
      <c r="Z120" s="92"/>
      <c r="AA120" s="143"/>
    </row>
    <row r="121" spans="1:29" s="107" customFormat="1" ht="46.5" x14ac:dyDescent="0.3">
      <c r="A121" s="115"/>
      <c r="B121" s="101" t="s">
        <v>148</v>
      </c>
      <c r="C121" s="108"/>
      <c r="D121" s="103">
        <f>D114+D116</f>
        <v>4785057.2889999999</v>
      </c>
      <c r="E121" s="103">
        <f>E114+E116</f>
        <v>4899846.7549999999</v>
      </c>
      <c r="F121" s="103">
        <f t="shared" si="117"/>
        <v>3858791.608</v>
      </c>
      <c r="G121" s="103">
        <f t="shared" ref="G121:P121" si="129">G114+G116</f>
        <v>297255.12099999998</v>
      </c>
      <c r="H121" s="103">
        <f t="shared" si="129"/>
        <v>370917.83399999992</v>
      </c>
      <c r="I121" s="103">
        <f t="shared" si="129"/>
        <v>352606.239</v>
      </c>
      <c r="J121" s="103">
        <f t="shared" si="129"/>
        <v>379616.53399999999</v>
      </c>
      <c r="K121" s="103">
        <f t="shared" si="129"/>
        <v>400975.80300000001</v>
      </c>
      <c r="L121" s="103">
        <f t="shared" si="129"/>
        <v>459409.76799999992</v>
      </c>
      <c r="M121" s="103">
        <f t="shared" si="129"/>
        <v>359984.35000000003</v>
      </c>
      <c r="N121" s="103">
        <f t="shared" si="129"/>
        <v>381984.45300000004</v>
      </c>
      <c r="O121" s="103">
        <f t="shared" si="129"/>
        <v>402882.47</v>
      </c>
      <c r="P121" s="103">
        <f t="shared" si="129"/>
        <v>453159.03600000014</v>
      </c>
      <c r="Q121" s="105">
        <f>F121/E121*100</f>
        <v>78.753312112513214</v>
      </c>
      <c r="R121" s="103">
        <f>R114+R116</f>
        <v>3805900.46</v>
      </c>
      <c r="S121" s="104">
        <f>F121-R121</f>
        <v>52891.148000000045</v>
      </c>
      <c r="T121" s="105">
        <f>F121/R121*100</f>
        <v>101.38971443304644</v>
      </c>
      <c r="U121" s="103">
        <f>U112+U84</f>
        <v>4027591.7374999993</v>
      </c>
      <c r="V121" s="104">
        <f>F121-U121</f>
        <v>-168800.12949999934</v>
      </c>
      <c r="W121" s="105">
        <f>F121/U121*100</f>
        <v>95.808906649392014</v>
      </c>
      <c r="Y121" s="103">
        <f>Y112+Y84</f>
        <v>3428481.2569999993</v>
      </c>
      <c r="Z121" s="104">
        <f>F121-Y121</f>
        <v>430310.35100000072</v>
      </c>
      <c r="AA121" s="105">
        <f>F121/Y121*100</f>
        <v>112.55104866393617</v>
      </c>
      <c r="AB121" s="103">
        <v>3428481.2569999998</v>
      </c>
      <c r="AC121" s="103">
        <f>AB121-Y121</f>
        <v>0</v>
      </c>
    </row>
    <row r="122" spans="1:29" s="13" customFormat="1" ht="20.25" hidden="1" x14ac:dyDescent="0.3">
      <c r="A122" s="28"/>
      <c r="B122" s="29"/>
      <c r="C122" s="30"/>
      <c r="D122" s="30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71"/>
      <c r="R122" s="151"/>
      <c r="S122" s="70"/>
      <c r="T122" s="71"/>
      <c r="U122" s="151"/>
      <c r="V122" s="70"/>
      <c r="W122" s="71"/>
      <c r="Y122" s="151"/>
      <c r="Z122" s="70"/>
      <c r="AA122" s="71"/>
    </row>
    <row r="123" spans="1:29" s="13" customFormat="1" ht="30" hidden="1" x14ac:dyDescent="0.4">
      <c r="A123" s="28"/>
      <c r="B123" s="128" t="s">
        <v>94</v>
      </c>
      <c r="C123" s="128"/>
      <c r="D123" s="128"/>
      <c r="E123" s="128"/>
      <c r="F123" s="128" t="s">
        <v>95</v>
      </c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71"/>
      <c r="R123" s="151"/>
      <c r="S123" s="70"/>
      <c r="T123" s="71"/>
      <c r="U123" s="151"/>
      <c r="V123" s="70"/>
      <c r="W123" s="71"/>
      <c r="Y123" s="128"/>
      <c r="Z123" s="70"/>
      <c r="AA123" s="71"/>
    </row>
    <row r="124" spans="1:29" s="6" customFormat="1" ht="30.75" hidden="1" x14ac:dyDescent="0.45">
      <c r="A124" s="4"/>
      <c r="B124" s="23" t="s">
        <v>52</v>
      </c>
      <c r="C124" s="16"/>
      <c r="D124" s="16"/>
      <c r="E124" s="16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73"/>
      <c r="R124" s="5"/>
      <c r="S124" s="72"/>
      <c r="T124" s="73"/>
      <c r="U124" s="5"/>
      <c r="V124" s="72"/>
      <c r="W124" s="73"/>
      <c r="Y124" s="152"/>
      <c r="Z124" s="72"/>
      <c r="AA124" s="73"/>
    </row>
    <row r="125" spans="1:29" s="6" customFormat="1" ht="30.75" hidden="1" x14ac:dyDescent="0.45">
      <c r="A125" s="4"/>
      <c r="B125" s="16"/>
      <c r="C125" s="16"/>
      <c r="D125" s="16"/>
      <c r="E125" s="93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73"/>
      <c r="R125" s="5"/>
      <c r="S125" s="72"/>
      <c r="T125" s="73"/>
      <c r="U125" s="5"/>
      <c r="V125" s="72"/>
      <c r="W125" s="73"/>
      <c r="Y125" s="152"/>
      <c r="Z125" s="72"/>
      <c r="AA125" s="73"/>
    </row>
    <row r="126" spans="1:29" s="2" customFormat="1" ht="30.75" hidden="1" x14ac:dyDescent="0.45">
      <c r="A126" s="21"/>
      <c r="B126" s="16"/>
      <c r="C126" s="16"/>
      <c r="D126" s="137">
        <v>4785057.2889999999</v>
      </c>
      <c r="E126" s="137">
        <v>4899846.7549999999</v>
      </c>
      <c r="F126" s="137">
        <v>3858791.608</v>
      </c>
      <c r="G126" s="137">
        <v>297255.12099999998</v>
      </c>
      <c r="H126" s="137">
        <v>370917.83299999998</v>
      </c>
      <c r="I126" s="137">
        <v>352606.24</v>
      </c>
      <c r="J126" s="137">
        <v>379616.53399999999</v>
      </c>
      <c r="K126" s="137">
        <v>400975.80300000001</v>
      </c>
      <c r="L126" s="137">
        <v>459409.76799999998</v>
      </c>
      <c r="M126" s="137">
        <v>359984.35</v>
      </c>
      <c r="N126" s="137">
        <v>381984.45199999999</v>
      </c>
      <c r="O126" s="137">
        <v>402882.47</v>
      </c>
      <c r="P126" s="137">
        <v>453159.03600000002</v>
      </c>
      <c r="Q126" s="3"/>
      <c r="R126" s="137">
        <v>3805900.46</v>
      </c>
      <c r="S126" s="3"/>
      <c r="T126" s="3"/>
      <c r="U126" s="128"/>
      <c r="V126" s="3"/>
      <c r="W126" s="3"/>
      <c r="Y126" s="137"/>
      <c r="Z126" s="3"/>
    </row>
    <row r="127" spans="1:29" ht="30.75" hidden="1" x14ac:dyDescent="0.45">
      <c r="B127" s="23"/>
      <c r="C127" s="152"/>
      <c r="D127" s="152"/>
      <c r="E127" s="152"/>
      <c r="F127" s="152"/>
      <c r="Y127" s="152"/>
    </row>
    <row r="128" spans="1:29" s="153" customFormat="1" ht="30.75" hidden="1" x14ac:dyDescent="0.45">
      <c r="A128" s="22"/>
      <c r="B128" s="16"/>
      <c r="C128" s="16"/>
      <c r="D128" s="93">
        <f>E121-D121</f>
        <v>114789.46600000001</v>
      </c>
      <c r="E128" s="16"/>
      <c r="F128" s="152"/>
      <c r="Q128" s="155"/>
      <c r="S128" s="155"/>
      <c r="T128" s="155"/>
      <c r="U128" s="155"/>
      <c r="V128" s="155"/>
      <c r="W128" s="155"/>
      <c r="Y128" s="152"/>
      <c r="Z128" s="155"/>
    </row>
    <row r="129" spans="1:52" s="153" customFormat="1" ht="30.75" hidden="1" x14ac:dyDescent="0.45">
      <c r="A129" s="22"/>
      <c r="B129" s="16"/>
      <c r="C129" s="16"/>
      <c r="D129" s="16"/>
      <c r="E129" s="16"/>
      <c r="F129" s="152"/>
      <c r="Q129" s="155"/>
      <c r="S129" s="155"/>
      <c r="T129" s="155"/>
      <c r="U129" s="155"/>
      <c r="V129" s="155"/>
      <c r="W129" s="155"/>
      <c r="Y129" s="152"/>
      <c r="Z129" s="155"/>
    </row>
    <row r="130" spans="1:52" s="153" customFormat="1" ht="30.75" hidden="1" x14ac:dyDescent="0.45">
      <c r="A130" s="22"/>
      <c r="B130" s="23"/>
      <c r="C130" s="152"/>
      <c r="D130" s="152"/>
      <c r="E130" s="152"/>
      <c r="F130" s="152"/>
      <c r="Q130" s="155"/>
      <c r="S130" s="155"/>
      <c r="T130" s="155"/>
      <c r="U130" s="155"/>
      <c r="V130" s="155"/>
      <c r="W130" s="155"/>
      <c r="Y130" s="152"/>
      <c r="Z130" s="155"/>
    </row>
    <row r="131" spans="1:52" ht="18.75" hidden="1" x14ac:dyDescent="0.3">
      <c r="B131" s="21"/>
      <c r="D131" s="137">
        <f t="shared" ref="D131:P131" si="130">D126-D121</f>
        <v>0</v>
      </c>
      <c r="E131" s="137">
        <f t="shared" si="130"/>
        <v>0</v>
      </c>
      <c r="F131" s="137">
        <f t="shared" si="130"/>
        <v>0</v>
      </c>
      <c r="G131" s="137">
        <f t="shared" si="130"/>
        <v>0</v>
      </c>
      <c r="H131" s="137">
        <f t="shared" si="130"/>
        <v>-9.9999993108212948E-4</v>
      </c>
      <c r="I131" s="137">
        <f t="shared" si="130"/>
        <v>9.9999998928979039E-4</v>
      </c>
      <c r="J131" s="137">
        <f t="shared" si="130"/>
        <v>0</v>
      </c>
      <c r="K131" s="137">
        <f t="shared" si="130"/>
        <v>0</v>
      </c>
      <c r="L131" s="137">
        <f t="shared" si="130"/>
        <v>0</v>
      </c>
      <c r="M131" s="137">
        <f t="shared" si="130"/>
        <v>0</v>
      </c>
      <c r="N131" s="137">
        <f t="shared" si="130"/>
        <v>-1.0000000474974513E-3</v>
      </c>
      <c r="O131" s="137">
        <f t="shared" si="130"/>
        <v>0</v>
      </c>
      <c r="P131" s="137">
        <f t="shared" si="130"/>
        <v>0</v>
      </c>
      <c r="R131" s="137">
        <f>R126-R121</f>
        <v>0</v>
      </c>
      <c r="S131" s="193" t="s">
        <v>49</v>
      </c>
      <c r="T131" s="193"/>
      <c r="U131" s="75">
        <f>E47/12*10</f>
        <v>3126351.1574999993</v>
      </c>
      <c r="Y131" s="137"/>
    </row>
    <row r="132" spans="1:52" ht="18.75" hidden="1" x14ac:dyDescent="0.3">
      <c r="B132" s="21"/>
      <c r="R132" s="89"/>
      <c r="S132" s="155"/>
      <c r="T132" s="155"/>
      <c r="U132" s="75">
        <f>U131-U47</f>
        <v>0</v>
      </c>
    </row>
    <row r="133" spans="1:52" ht="18.75" hidden="1" x14ac:dyDescent="0.3">
      <c r="B133" s="2"/>
      <c r="C133" s="149"/>
      <c r="D133" s="149"/>
      <c r="E133" s="88">
        <v>4809905.6789999995</v>
      </c>
      <c r="F133" s="88">
        <v>1801371.531</v>
      </c>
      <c r="S133" s="193" t="s">
        <v>50</v>
      </c>
      <c r="T133" s="193"/>
      <c r="U133" s="74">
        <f>E100/12*10</f>
        <v>148598.41500000001</v>
      </c>
      <c r="Y133" s="88"/>
    </row>
    <row r="134" spans="1:52" ht="18.75" hidden="1" x14ac:dyDescent="0.3">
      <c r="B134" s="2"/>
      <c r="C134" s="149"/>
      <c r="D134" s="149"/>
      <c r="E134" s="88">
        <f>E133-E121</f>
        <v>-89941.07600000035</v>
      </c>
      <c r="F134" s="88">
        <f>F133-F121</f>
        <v>-2057420.077</v>
      </c>
      <c r="S134" s="155"/>
      <c r="T134" s="155"/>
      <c r="U134" s="75">
        <f>U133-U100</f>
        <v>0</v>
      </c>
    </row>
    <row r="135" spans="1:52" ht="22.5" hidden="1" x14ac:dyDescent="0.3">
      <c r="B135" s="2"/>
      <c r="C135" s="149"/>
      <c r="D135" s="149"/>
      <c r="E135" s="94"/>
      <c r="F135" s="94"/>
      <c r="S135" s="193" t="s">
        <v>51</v>
      </c>
      <c r="T135" s="193"/>
      <c r="U135" s="75">
        <f>U133+U108</f>
        <v>269018.41500000004</v>
      </c>
      <c r="Y135" s="94"/>
    </row>
    <row r="136" spans="1:52" ht="18.75" hidden="1" x14ac:dyDescent="0.3">
      <c r="B136" s="2"/>
      <c r="C136" s="149"/>
      <c r="D136" s="149"/>
      <c r="E136" s="149"/>
      <c r="S136" s="155"/>
      <c r="T136" s="155"/>
      <c r="U136" s="75">
        <f>U135-U112</f>
        <v>0</v>
      </c>
    </row>
    <row r="137" spans="1:52" ht="18.75" hidden="1" x14ac:dyDescent="0.3">
      <c r="B137" s="2"/>
      <c r="C137" s="149"/>
      <c r="D137" s="149"/>
      <c r="E137" s="149"/>
    </row>
    <row r="138" spans="1:52" ht="18.75" hidden="1" x14ac:dyDescent="0.3">
      <c r="B138" s="95"/>
      <c r="C138" s="149"/>
      <c r="D138" s="149"/>
      <c r="E138" s="149"/>
    </row>
    <row r="139" spans="1:52" ht="18.75" hidden="1" x14ac:dyDescent="0.3">
      <c r="B139" s="2"/>
      <c r="C139" s="149"/>
      <c r="D139" s="149"/>
      <c r="E139" s="149"/>
    </row>
    <row r="140" spans="1:52" s="17" customFormat="1" ht="18.75" hidden="1" x14ac:dyDescent="0.3">
      <c r="B140" s="2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"/>
      <c r="R140" s="149"/>
      <c r="S140" s="1"/>
      <c r="T140" s="1"/>
      <c r="U140" s="1"/>
      <c r="V140" s="1"/>
      <c r="W140" s="1"/>
      <c r="Y140" s="149"/>
      <c r="Z140" s="1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</row>
    <row r="141" spans="1:52" s="17" customFormat="1" ht="18.75" hidden="1" x14ac:dyDescent="0.3">
      <c r="B141" s="2"/>
      <c r="C141" s="149"/>
      <c r="D141" s="149"/>
      <c r="E141" s="88"/>
      <c r="F141" s="88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"/>
      <c r="R141" s="149"/>
      <c r="S141" s="1"/>
      <c r="T141" s="1"/>
      <c r="U141" s="1"/>
      <c r="V141" s="1"/>
      <c r="W141" s="1"/>
      <c r="Y141" s="88"/>
      <c r="Z141" s="1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</row>
    <row r="142" spans="1:52" s="17" customFormat="1" ht="18.75" hidden="1" x14ac:dyDescent="0.3">
      <c r="B142" s="2"/>
      <c r="C142" s="149"/>
      <c r="D142" s="161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"/>
      <c r="R142" s="149"/>
      <c r="S142" s="1"/>
      <c r="T142" s="1"/>
      <c r="U142" s="1"/>
      <c r="V142" s="1"/>
      <c r="W142" s="1"/>
      <c r="Y142" s="149"/>
      <c r="Z142" s="1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</row>
    <row r="143" spans="1:52" s="17" customFormat="1" ht="18.75" hidden="1" x14ac:dyDescent="0.3">
      <c r="B143" s="2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"/>
      <c r="R143" s="149"/>
      <c r="S143" s="1"/>
      <c r="T143" s="1"/>
      <c r="U143" s="1"/>
      <c r="V143" s="1"/>
      <c r="W143" s="1"/>
      <c r="Y143" s="149"/>
      <c r="Z143" s="1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</row>
    <row r="144" spans="1:52" s="17" customFormat="1" ht="22.5" hidden="1" x14ac:dyDescent="0.3">
      <c r="B144" s="2"/>
      <c r="C144" s="149"/>
      <c r="D144" s="94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"/>
      <c r="R144" s="149"/>
      <c r="S144" s="1"/>
      <c r="T144" s="1"/>
      <c r="U144" s="1"/>
      <c r="V144" s="1"/>
      <c r="W144" s="1"/>
      <c r="Y144" s="149"/>
      <c r="Z144" s="1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</row>
    <row r="145" spans="2:52" s="17" customFormat="1" ht="18.75" hidden="1" x14ac:dyDescent="0.3">
      <c r="B145" s="2"/>
      <c r="C145" s="149"/>
      <c r="D145" s="149"/>
      <c r="E145" s="149"/>
      <c r="F145" s="88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"/>
      <c r="R145" s="149"/>
      <c r="S145" s="1"/>
      <c r="T145" s="1"/>
      <c r="U145" s="1"/>
      <c r="V145" s="1"/>
      <c r="W145" s="1"/>
      <c r="Y145" s="88"/>
      <c r="Z145" s="1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</row>
    <row r="146" spans="2:52" s="17" customFormat="1" ht="64.5" customHeight="1" x14ac:dyDescent="0.3">
      <c r="B146" s="2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"/>
      <c r="R146" s="149"/>
      <c r="S146" s="1"/>
      <c r="T146" s="1"/>
      <c r="U146" s="1"/>
      <c r="V146" s="1"/>
      <c r="W146" s="1"/>
      <c r="Y146" s="149"/>
      <c r="Z146" s="1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</row>
    <row r="147" spans="2:52" s="201" customFormat="1" ht="30.75" x14ac:dyDescent="0.45">
      <c r="B147" s="204" t="s">
        <v>232</v>
      </c>
      <c r="C147" s="204"/>
      <c r="D147" s="204"/>
      <c r="E147" s="204"/>
      <c r="F147" s="204" t="s">
        <v>233</v>
      </c>
      <c r="G147" s="204"/>
      <c r="H147" s="205"/>
      <c r="I147" s="206"/>
      <c r="J147" s="207"/>
      <c r="K147" s="207"/>
      <c r="L147" s="207"/>
      <c r="M147" s="208"/>
      <c r="N147" s="207"/>
      <c r="O147" s="207"/>
      <c r="P147" s="207"/>
      <c r="Q147" s="209"/>
      <c r="R147" s="202"/>
      <c r="S147" s="202"/>
      <c r="T147" s="202"/>
      <c r="U147" s="202"/>
      <c r="V147" s="202"/>
      <c r="X147" s="203"/>
      <c r="Y147" s="202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203"/>
      <c r="AV147" s="203"/>
      <c r="AW147" s="203"/>
      <c r="AX147" s="203"/>
      <c r="AY147" s="203"/>
      <c r="AZ147" s="203"/>
    </row>
    <row r="148" spans="2:52" s="17" customFormat="1" ht="30.75" x14ac:dyDescent="0.45">
      <c r="B148" s="23" t="s">
        <v>52</v>
      </c>
      <c r="C148" s="16"/>
      <c r="D148" s="16"/>
      <c r="E148" s="16"/>
      <c r="F148" s="152"/>
      <c r="G148" s="152"/>
      <c r="H148" s="5"/>
      <c r="I148" s="72"/>
      <c r="J148" s="1"/>
      <c r="K148" s="1"/>
      <c r="L148" s="1"/>
      <c r="M148" s="73"/>
      <c r="N148" s="1"/>
      <c r="O148" s="1"/>
      <c r="P148" s="1"/>
      <c r="Q148" s="149"/>
      <c r="R148" s="1"/>
      <c r="S148" s="1"/>
      <c r="T148" s="1"/>
      <c r="U148" s="1"/>
      <c r="V148" s="1"/>
      <c r="X148" s="149"/>
      <c r="Y148" s="1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</row>
    <row r="149" spans="2:52" s="17" customFormat="1" ht="18.75" x14ac:dyDescent="0.3">
      <c r="B149" s="21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"/>
      <c r="R149" s="149"/>
      <c r="S149" s="1"/>
      <c r="T149" s="1"/>
      <c r="U149" s="1"/>
      <c r="V149" s="1"/>
      <c r="W149" s="1"/>
      <c r="Y149" s="149"/>
      <c r="Z149" s="1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</row>
  </sheetData>
  <mergeCells count="36">
    <mergeCell ref="G3:G4"/>
    <mergeCell ref="P3:P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  <mergeCell ref="N3:N4"/>
    <mergeCell ref="O3:O4"/>
    <mergeCell ref="S133:T133"/>
    <mergeCell ref="S135:T135"/>
    <mergeCell ref="C19:C21"/>
    <mergeCell ref="A59:A61"/>
    <mergeCell ref="C59:C61"/>
    <mergeCell ref="A1:AA1"/>
    <mergeCell ref="A6:AA6"/>
    <mergeCell ref="A85:AA85"/>
    <mergeCell ref="A113:AA113"/>
    <mergeCell ref="S131:T131"/>
    <mergeCell ref="AA3:AA4"/>
    <mergeCell ref="R3:R4"/>
    <mergeCell ref="S3:S4"/>
    <mergeCell ref="T3:T4"/>
    <mergeCell ref="U3:U4"/>
    <mergeCell ref="V3:V4"/>
    <mergeCell ref="W3:W4"/>
    <mergeCell ref="Q3:Q4"/>
    <mergeCell ref="Y3:Y4"/>
    <mergeCell ref="Z3:Z4"/>
    <mergeCell ref="A3:A4"/>
  </mergeCells>
  <printOptions horizontalCentered="1"/>
  <pageMargins left="0.39370078740157483" right="0" top="0" bottom="0" header="0.23622047244094491" footer="0.11811023622047245"/>
  <pageSetup paperSize="8" scale="62" fitToHeight="10" orientation="landscape" horizontalDpi="300" verticalDpi="300" r:id="rId1"/>
  <headerFooter alignWithMargins="0"/>
  <rowBreaks count="1" manualBreakCount="1">
    <brk id="92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328EEC93ABA744A93A4C3D4B9286A9" ma:contentTypeVersion="0" ma:contentTypeDescription="Створення нового документа." ma:contentTypeScope="" ma:versionID="b071c5e85f7d1f4bbdf3bdb2335348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711630-7C94-4AC4-86E0-2238BF24D316}"/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2021-11-01T09:25:59Z</cp:lastPrinted>
  <dcterms:created xsi:type="dcterms:W3CDTF">1996-10-08T23:32:33Z</dcterms:created>
  <dcterms:modified xsi:type="dcterms:W3CDTF">2021-11-05T07:55:50Z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0x01010079328EEC93ABA744A93A4C3D4B9286A9</vt:lpwstr>
  </property>
</Properties>
</file>